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15" windowWidth="11565" windowHeight="8925" tabRatio="726" firstSheet="1" activeTab="11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  <sheet name="政府性基金转移性预算表" sheetId="12" r:id="rId12"/>
    <sheet name="债务限额及余额情况表" sheetId="13" r:id="rId13"/>
    <sheet name="专项债务限额及余额情况表" sheetId="14" r:id="rId14"/>
    <sheet name="2017社保收入情况" sheetId="15" r:id="rId15"/>
    <sheet name="2017社保支出情况" sheetId="16" r:id="rId16"/>
    <sheet name="2017年社保结余情况" sheetId="17" r:id="rId17"/>
    <sheet name="2017社保预算收入表" sheetId="18" r:id="rId18"/>
    <sheet name="2017社保预算支出表" sheetId="19" r:id="rId19"/>
    <sheet name="2017社保预算结余表" sheetId="20" r:id="rId20"/>
    <sheet name="2017年国有资本经营收入" sheetId="21" r:id="rId21"/>
    <sheet name="2017年国有资本经营支出" sheetId="22" r:id="rId22"/>
  </sheets>
  <definedNames>
    <definedName name="_xlnm.Print_Area" localSheetId="20">'2017年国有资本经营收入'!$A$1:$E$17</definedName>
    <definedName name="_xlnm.Print_Area" localSheetId="21">'2017年国有资本经营支出'!$A$1:$E$17</definedName>
    <definedName name="_xlnm.Print_Area" localSheetId="16">'2017年社保结余情况'!$A$1:$E$21</definedName>
    <definedName name="_xlnm.Print_Area" localSheetId="14">'2017社保收入情况'!$A$1:$E$48</definedName>
    <definedName name="_xlnm.Print_Area" localSheetId="19">'2017社保预算结余表'!$A$1:$E$21</definedName>
    <definedName name="_xlnm.Print_Area" localSheetId="17">'2017社保预算收入表'!$A$1:$E$48</definedName>
    <definedName name="_xlnm.Print_Area" localSheetId="18">'2017社保预算支出表'!$A$1:$E$35</definedName>
    <definedName name="_xlnm.Print_Area" localSheetId="15">'2017社保支出情况'!$A$1:$E$35</definedName>
    <definedName name="_xlnm.Print_Area" localSheetId="7">'表八'!$A$1:$E$17</definedName>
    <definedName name="_xlnm.Print_Area" localSheetId="1">'表二'!$A$1:$E$28</definedName>
    <definedName name="_xlnm.Print_Area" localSheetId="8">'表九'!$A$1:$E$346</definedName>
    <definedName name="_xlnm.Print_Area" localSheetId="5">'表六'!$A$1:$E$28</definedName>
    <definedName name="_xlnm.Print_Area" localSheetId="6">'表七'!$A$1:$E$23</definedName>
    <definedName name="_xlnm.Print_Area" localSheetId="2">'表三'!$A$1:$E$25</definedName>
    <definedName name="_xlnm.Print_Area" localSheetId="9">'表十'!$A$1:$E$11</definedName>
    <definedName name="_xlnm.Print_Area" localSheetId="10">'表十一'!$A$1:$D$11</definedName>
    <definedName name="_xlnm.Print_Area" localSheetId="3">'表四'!$A$1:$E$16</definedName>
    <definedName name="_xlnm.Print_Area" localSheetId="4">'表五'!$A$1:$E$29</definedName>
    <definedName name="_xlnm.Print_Area" localSheetId="0">'表一'!$A$1:$E$29</definedName>
    <definedName name="_xlnm.Print_Titles" localSheetId="8">'表九'!$3:$4</definedName>
  </definedNames>
  <calcPr fullCalcOnLoad="1"/>
</workbook>
</file>

<file path=xl/sharedStrings.xml><?xml version="1.0" encoding="utf-8"?>
<sst xmlns="http://schemas.openxmlformats.org/spreadsheetml/2006/main" count="968" uniqueCount="628">
  <si>
    <t>项目</t>
  </si>
  <si>
    <t>2014年完成数</t>
  </si>
  <si>
    <t>2013年完成数</t>
  </si>
  <si>
    <t>比上年增（减）%</t>
  </si>
  <si>
    <t>一、税收收入小计</t>
  </si>
  <si>
    <t>一、税收收入小计</t>
  </si>
  <si>
    <t xml:space="preserve">    增值税（25%）</t>
  </si>
  <si>
    <t xml:space="preserve">    营业税</t>
  </si>
  <si>
    <t xml:space="preserve">    营业税</t>
  </si>
  <si>
    <t xml:space="preserve">    企业所得税（40%）</t>
  </si>
  <si>
    <t xml:space="preserve">    企业所得税（40%）</t>
  </si>
  <si>
    <t xml:space="preserve">    企业所得税退税</t>
  </si>
  <si>
    <t xml:space="preserve">    企业所得税退税</t>
  </si>
  <si>
    <t xml:space="preserve">    个人所得税（40%）</t>
  </si>
  <si>
    <t xml:space="preserve">    个人所得税（40%）</t>
  </si>
  <si>
    <t xml:space="preserve">    资源税</t>
  </si>
  <si>
    <t xml:space="preserve">    资源税</t>
  </si>
  <si>
    <t xml:space="preserve">    固定资产投资方向调节税</t>
  </si>
  <si>
    <t xml:space="preserve">    固定资产投资方向调节税</t>
  </si>
  <si>
    <t xml:space="preserve">    城市维护建设税</t>
  </si>
  <si>
    <t xml:space="preserve">    城市维护建设税</t>
  </si>
  <si>
    <t xml:space="preserve">    房产税</t>
  </si>
  <si>
    <t xml:space="preserve">    房产税</t>
  </si>
  <si>
    <t xml:space="preserve">    印花税</t>
  </si>
  <si>
    <t xml:space="preserve">    印花税</t>
  </si>
  <si>
    <t xml:space="preserve">    城镇土地使用税</t>
  </si>
  <si>
    <t xml:space="preserve">    城镇土地使用税</t>
  </si>
  <si>
    <t xml:space="preserve">    土地增值税</t>
  </si>
  <si>
    <t xml:space="preserve">    土地增值税</t>
  </si>
  <si>
    <t xml:space="preserve">    车船使用和牌照税</t>
  </si>
  <si>
    <t xml:space="preserve">    车船使用和牌照税</t>
  </si>
  <si>
    <t xml:space="preserve">    耕地占用税</t>
  </si>
  <si>
    <t xml:space="preserve">    耕地占用税</t>
  </si>
  <si>
    <t xml:space="preserve">    契税</t>
  </si>
  <si>
    <t xml:space="preserve">    契税</t>
  </si>
  <si>
    <t>二、非税收入小计</t>
  </si>
  <si>
    <t>二、非税收入小计</t>
  </si>
  <si>
    <t xml:space="preserve">    专项收入</t>
  </si>
  <si>
    <t xml:space="preserve">    专项收入</t>
  </si>
  <si>
    <t xml:space="preserve">    行政事业性收费收入</t>
  </si>
  <si>
    <t xml:space="preserve">    行政事业性收费收入</t>
  </si>
  <si>
    <t xml:space="preserve">    罚没收入</t>
  </si>
  <si>
    <t xml:space="preserve">    罚没收入</t>
  </si>
  <si>
    <t xml:space="preserve">    国有资产经营收入</t>
  </si>
  <si>
    <t xml:space="preserve">    国有资产经营收入</t>
  </si>
  <si>
    <t xml:space="preserve">    国有资源（资产）有偿使用收入</t>
  </si>
  <si>
    <t xml:space="preserve">    其他收入</t>
  </si>
  <si>
    <t xml:space="preserve">    其他收入</t>
  </si>
  <si>
    <t>公共财政预算收入</t>
  </si>
  <si>
    <t>比上年增（减)%</t>
  </si>
  <si>
    <t>单位：万元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</si>
  <si>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</si>
  <si>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</si>
  <si>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</si>
  <si>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</si>
  <si>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</si>
  <si>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</si>
  <si>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</si>
  <si>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</si>
  <si>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</si>
  <si>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</si>
  <si>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</si>
  <si>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</si>
  <si>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</si>
  <si>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</si>
  <si>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</si>
  <si>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</si>
  <si>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</si>
  <si>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</si>
  <si>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</si>
  <si>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二十、粮油物资储备管理事务</t>
  </si>
  <si>
    <t>二十一、预备费</t>
  </si>
  <si>
    <t>二十二、国债还本付息支出</t>
  </si>
  <si>
    <t>二十三、其他支出</t>
  </si>
  <si>
    <t>公共财政预算支出</t>
  </si>
  <si>
    <t>单位：万元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</si>
  <si>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</si>
  <si>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</si>
  <si>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</si>
  <si>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</si>
  <si>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</si>
  <si>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</si>
  <si>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</si>
  <si>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</si>
  <si>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</si>
  <si>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</si>
  <si>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</si>
  <si>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收入</t>
  </si>
  <si>
    <t>支出</t>
  </si>
  <si>
    <t>备注</t>
  </si>
  <si>
    <t xml:space="preserve">    国有资源（资产）
    有偿使用收入</t>
  </si>
  <si>
    <t>项目</t>
  </si>
  <si>
    <t>预算数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</si>
  <si>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</si>
  <si>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</si>
  <si>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</si>
  <si>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</si>
  <si>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  其他人大事务支出</t>
  </si>
  <si>
    <t xml:space="preserve">  政协事务</t>
  </si>
  <si>
    <t xml:space="preserve">  政府办公厅(室)及相关机构事务</t>
  </si>
  <si>
    <t xml:space="preserve">    其他政府办公厅(室)及相关机构事务支出</t>
  </si>
  <si>
    <t xml:space="preserve">  发展与改革事务</t>
  </si>
  <si>
    <t xml:space="preserve">  统计信息事务</t>
  </si>
  <si>
    <t xml:space="preserve">    专项统计业务</t>
  </si>
  <si>
    <t xml:space="preserve">  财政事务</t>
  </si>
  <si>
    <t xml:space="preserve">    其他财政事务支出</t>
  </si>
  <si>
    <t xml:space="preserve">  税收事务</t>
  </si>
  <si>
    <t xml:space="preserve">  审计事务</t>
  </si>
  <si>
    <t xml:space="preserve">    其他审计事务支出</t>
  </si>
  <si>
    <t xml:space="preserve">  纪检监察事务</t>
  </si>
  <si>
    <t xml:space="preserve">  商贸事务</t>
  </si>
  <si>
    <t xml:space="preserve">    其他商贸事务支出</t>
  </si>
  <si>
    <t xml:space="preserve">  档案事务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</si>
  <si>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</si>
  <si>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</si>
  <si>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</si>
  <si>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</si>
  <si>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</si>
  <si>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统战事务</t>
  </si>
  <si>
    <t xml:space="preserve">    其他统战事务支出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</si>
  <si>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</si>
  <si>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</si>
  <si>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</si>
  <si>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</si>
  <si>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</si>
  <si>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禁毒管理</t>
  </si>
  <si>
    <t xml:space="preserve">    道路交通管理</t>
  </si>
  <si>
    <t xml:space="preserve">    拘押收教场所管理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</si>
  <si>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</si>
  <si>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</si>
  <si>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</si>
  <si>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</si>
  <si>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</si>
  <si>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</si>
  <si>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</si>
  <si>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</si>
  <si>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</si>
  <si>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</si>
  <si>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</si>
  <si>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</si>
  <si>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</si>
  <si>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</si>
  <si>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</si>
  <si>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</si>
  <si>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</si>
  <si>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</si>
  <si>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</si>
  <si>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</si>
  <si>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技校教育</t>
  </si>
  <si>
    <t xml:space="preserve">    职业高中教育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</si>
  <si>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</si>
  <si>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</si>
  <si>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</si>
  <si>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</si>
  <si>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城市中小学校舍建设</t>
  </si>
  <si>
    <t xml:space="preserve">  其他教育支出(款)</t>
  </si>
  <si>
    <t xml:space="preserve">    其他教育支出(项)</t>
  </si>
  <si>
    <t xml:space="preserve">  科学技术管理事务</t>
  </si>
  <si>
    <t xml:space="preserve">    机构运行</t>
  </si>
  <si>
    <t xml:space="preserve">  科学技术普及</t>
  </si>
  <si>
    <t xml:space="preserve">    科普活动</t>
  </si>
  <si>
    <t xml:space="preserve">    其他科学技术普及支出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</si>
  <si>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</si>
  <si>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</si>
  <si>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</si>
  <si>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</si>
  <si>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文化创作与保护</t>
  </si>
  <si>
    <t xml:space="preserve">    其他文化支出</t>
  </si>
  <si>
    <t xml:space="preserve">    广播</t>
  </si>
  <si>
    <t xml:space="preserve">    电视</t>
  </si>
  <si>
    <t xml:space="preserve">    其他广播影视支出</t>
  </si>
  <si>
    <t xml:space="preserve">  其他文化体育与传媒支出(款)</t>
  </si>
  <si>
    <t xml:space="preserve">    其他文化体育与传媒支出(项)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</si>
  <si>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</si>
  <si>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</si>
  <si>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</si>
  <si>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财政对社会保险基金的补助</t>
  </si>
  <si>
    <t xml:space="preserve">    财政对城乡居民社会养老保险基金的补助</t>
  </si>
  <si>
    <t xml:space="preserve">  就业补助</t>
  </si>
  <si>
    <t xml:space="preserve">  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</si>
  <si>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</si>
  <si>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</si>
  <si>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</si>
  <si>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退役安置</t>
  </si>
  <si>
    <t xml:space="preserve">    退役士兵安置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</si>
  <si>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</si>
  <si>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</si>
  <si>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</si>
  <si>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</si>
  <si>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</si>
  <si>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</si>
  <si>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</si>
  <si>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</si>
  <si>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</si>
  <si>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</si>
  <si>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</si>
  <si>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流浪乞讨人员救助</t>
  </si>
  <si>
    <t xml:space="preserve">    农村最低生活保障金支出</t>
  </si>
  <si>
    <t xml:space="preserve">    其他农村生活救助支出</t>
  </si>
  <si>
    <t xml:space="preserve">  医疗卫生管理事务</t>
  </si>
  <si>
    <t xml:space="preserve">  公立医院</t>
  </si>
  <si>
    <t xml:space="preserve">    综合医院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</si>
  <si>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</si>
  <si>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</si>
  <si>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</si>
  <si>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</si>
  <si>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</si>
  <si>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</si>
  <si>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基本公共卫生服务</t>
  </si>
  <si>
    <t xml:space="preserve">    重大公共卫生专项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</si>
  <si>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</si>
  <si>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</si>
  <si>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</si>
  <si>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</si>
  <si>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</si>
  <si>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中医药</t>
  </si>
  <si>
    <t xml:space="preserve">    中医(民族医)药专项</t>
  </si>
  <si>
    <t xml:space="preserve">  人口与计划生育事务</t>
  </si>
  <si>
    <t xml:space="preserve">    其他人口与计划生育事务支出</t>
  </si>
  <si>
    <t xml:space="preserve">  食品和药品监督管理事务</t>
  </si>
  <si>
    <t xml:space="preserve">  环境保护管理事务</t>
  </si>
  <si>
    <t xml:space="preserve">  污染防治</t>
  </si>
  <si>
    <t xml:space="preserve">    水体</t>
  </si>
  <si>
    <t xml:space="preserve">    排污费安排的支出</t>
  </si>
  <si>
    <t xml:space="preserve">  自然生态保护</t>
  </si>
  <si>
    <t xml:space="preserve">    农村环境保护</t>
  </si>
  <si>
    <t xml:space="preserve">  退耕还林</t>
  </si>
  <si>
    <t xml:space="preserve">    退耕现金</t>
  </si>
  <si>
    <t xml:space="preserve">    其他退耕还林支出</t>
  </si>
  <si>
    <t xml:space="preserve">  退牧还草</t>
  </si>
  <si>
    <t xml:space="preserve">    退牧还草工程建设</t>
  </si>
  <si>
    <t xml:space="preserve">  能源节约利用(款)</t>
  </si>
  <si>
    <t xml:space="preserve">    能源节约利用(项)</t>
  </si>
  <si>
    <t xml:space="preserve">  污染减排</t>
  </si>
  <si>
    <t xml:space="preserve">    清洁生产专项支出</t>
  </si>
  <si>
    <t xml:space="preserve">    其他污染减排支出</t>
  </si>
  <si>
    <t xml:space="preserve">  城乡社区管理事务</t>
  </si>
  <si>
    <t xml:space="preserve">    城管执法</t>
  </si>
  <si>
    <t xml:space="preserve">    工程建设管理</t>
  </si>
  <si>
    <t xml:space="preserve">    住宅建设与房地产市场监管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</si>
  <si>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</si>
  <si>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</si>
  <si>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</si>
  <si>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</si>
  <si>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</si>
  <si>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</si>
  <si>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 xml:space="preserve">  农业</t>
  </si>
  <si>
    <t xml:space="preserve">    病虫害控制</t>
  </si>
  <si>
    <t xml:space="preserve">    农产品质量安全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</si>
  <si>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</si>
  <si>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</si>
  <si>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</si>
  <si>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</si>
  <si>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</si>
  <si>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农业资源保护与利用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</si>
  <si>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</si>
  <si>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</si>
  <si>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</si>
  <si>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</si>
  <si>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</si>
  <si>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</si>
  <si>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森林生态效益补偿</t>
  </si>
  <si>
    <t xml:space="preserve">    林业执法与监督</t>
  </si>
  <si>
    <t xml:space="preserve">    林业防灾减灾</t>
  </si>
  <si>
    <t xml:space="preserve">    其他林业支出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</si>
  <si>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</si>
  <si>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</si>
  <si>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</si>
  <si>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</si>
  <si>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防汛</t>
  </si>
  <si>
    <t xml:space="preserve">    水利技术推广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</si>
  <si>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</si>
  <si>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</si>
  <si>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</si>
  <si>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</si>
  <si>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</si>
  <si>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</si>
  <si>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</si>
  <si>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</si>
  <si>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</si>
  <si>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</si>
  <si>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其他农村综合改革支出</t>
  </si>
  <si>
    <t xml:space="preserve">  其他农林水支出(款)</t>
  </si>
  <si>
    <t xml:space="preserve">    其他农林水支出(项)</t>
  </si>
  <si>
    <t xml:space="preserve">  公路水路运输</t>
  </si>
  <si>
    <t xml:space="preserve">  安全生产监管</t>
  </si>
  <si>
    <t xml:space="preserve">  其他资源勘探信息等支出(款)</t>
  </si>
  <si>
    <t xml:space="preserve">    技术改造支出</t>
  </si>
  <si>
    <t xml:space="preserve">    其他资源勘探信息等支出(项)</t>
  </si>
  <si>
    <t xml:space="preserve">  商业流通事务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</si>
  <si>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</si>
  <si>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</si>
  <si>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</si>
  <si>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国土资源事务</t>
  </si>
  <si>
    <t xml:space="preserve">  地震事务</t>
  </si>
  <si>
    <t xml:space="preserve">  气象事务</t>
  </si>
  <si>
    <t xml:space="preserve">    气象服务</t>
  </si>
  <si>
    <t xml:space="preserve">  保障性安居工程支出</t>
  </si>
  <si>
    <t xml:space="preserve">    农村危房改造</t>
  </si>
  <si>
    <t xml:space="preserve">    其他保障性安居工程支出</t>
  </si>
  <si>
    <t xml:space="preserve">  粮油事务</t>
  </si>
  <si>
    <t xml:space="preserve">  粮油储备</t>
  </si>
  <si>
    <t xml:space="preserve">    储备粮(油)库建设</t>
  </si>
  <si>
    <t xml:space="preserve">  重要商品储备</t>
  </si>
  <si>
    <t xml:space="preserve">    肉类储备</t>
  </si>
  <si>
    <t xml:space="preserve">  其他支出(款)</t>
  </si>
  <si>
    <t xml:space="preserve">    其他支出(项)</t>
  </si>
  <si>
    <t>项目</t>
  </si>
  <si>
    <t>单位：万元</t>
  </si>
  <si>
    <t>2014年预算数</t>
  </si>
  <si>
    <t>2014年执行数</t>
  </si>
  <si>
    <t xml:space="preserve">    其中：基本养老保险支出</t>
  </si>
  <si>
    <t xml:space="preserve">         其他各项支出</t>
  </si>
  <si>
    <t xml:space="preserve">    其中：社会保险待遇支出</t>
  </si>
  <si>
    <t>二、失业保险基金支出</t>
  </si>
  <si>
    <t>三、城镇职工基本医疗保险基金支出</t>
  </si>
  <si>
    <t>四、工伤保险基金支出</t>
  </si>
  <si>
    <t xml:space="preserve">    其中：失业保险基金支出</t>
  </si>
  <si>
    <t xml:space="preserve">    其中：工伤保险基金支出</t>
  </si>
  <si>
    <t xml:space="preserve">    其中：基本医疗保险基金支出</t>
  </si>
  <si>
    <t xml:space="preserve">    其中：生育保险基金支出</t>
  </si>
  <si>
    <t xml:space="preserve">    其中：居民养老保险基金支出</t>
  </si>
  <si>
    <t xml:space="preserve">    其中：农材合作医疗基金支出</t>
  </si>
  <si>
    <t>阿克陶县社会保险基金支出合计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</si>
  <si>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</si>
  <si>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</si>
  <si>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</si>
  <si>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</si>
  <si>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t>五、生育保险基金本年收支结余</t>
  </si>
  <si>
    <t>六、城乡居民养老保险基金本年收支结余</t>
  </si>
  <si>
    <t>阿克陶县社会保险基金本年收支结余</t>
  </si>
  <si>
    <t>一、企业职工基本养老保险基金年末累计结余</t>
  </si>
  <si>
    <t>二、失业保险基金年末累计结余</t>
  </si>
  <si>
    <t>三、城镇职工基本医疗保险基金年末累计结余</t>
  </si>
  <si>
    <t>四、工伤保险基金年末累计结余</t>
  </si>
  <si>
    <t>五、生育保险基金年末累计结余</t>
  </si>
  <si>
    <t>六、城乡居民养老保险基金年末累计结余</t>
  </si>
  <si>
    <t>阿克陶县社会保险基金年末累计结余</t>
  </si>
  <si>
    <t>预算数为上年执行数的%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</si>
  <si>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</si>
  <si>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</si>
  <si>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</si>
  <si>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</si>
  <si>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 xml:space="preserve">          其他各项收入</t>
  </si>
  <si>
    <t>二、失业保险基金收入</t>
  </si>
  <si>
    <t>四、工伤保险基金收入</t>
  </si>
  <si>
    <t>六、城乡居民养老保险基金收入</t>
  </si>
  <si>
    <t xml:space="preserve">    其中：居民基本医疗保险基金支出</t>
  </si>
  <si>
    <t>执行数为预算数的%</t>
  </si>
  <si>
    <t>一、企业职工基本养老保险基金收入</t>
  </si>
  <si>
    <t>三、城镇职工基本医疗保险基金收入</t>
  </si>
  <si>
    <t>五、生育保险基金收入</t>
  </si>
  <si>
    <t>一、企业职工基本养老保险基金支出</t>
  </si>
  <si>
    <t>三、城镇职工基本医疗保险基金支出</t>
  </si>
  <si>
    <t>四、工伤保险基金支出</t>
  </si>
  <si>
    <t>五、生育保险基金支出</t>
  </si>
  <si>
    <t>六、城乡居民养老保险基金支出</t>
  </si>
  <si>
    <t>阿克陶县社会保险基金支出合计</t>
  </si>
  <si>
    <t>阿克陶县社会保险基金年末累计结余</t>
  </si>
  <si>
    <t>阿克陶县社会保险基金收入合计</t>
  </si>
  <si>
    <t>五、生育保险基金支出</t>
  </si>
  <si>
    <t>六、城乡居民养老保险基金支出</t>
  </si>
  <si>
    <t>一、一般公共服务支出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</si>
  <si>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</si>
  <si>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</si>
  <si>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</si>
  <si>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</si>
  <si>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</si>
  <si>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</si>
  <si>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</si>
  <si>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</si>
  <si>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</si>
  <si>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</si>
  <si>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</si>
  <si>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</si>
  <si>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</si>
  <si>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收入总计</t>
  </si>
  <si>
    <t>上级补助收入</t>
  </si>
  <si>
    <t>返还性收入</t>
  </si>
  <si>
    <t>一般性转移支付收入</t>
  </si>
  <si>
    <t>收入合计</t>
  </si>
  <si>
    <t>十六、粮油物资储备支出</t>
  </si>
  <si>
    <t>十七、其他支出(类)</t>
  </si>
  <si>
    <t>单位：万元</t>
  </si>
  <si>
    <t>比上年增（减)%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</si>
  <si>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</si>
  <si>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</si>
  <si>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</si>
  <si>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</si>
  <si>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</si>
  <si>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</si>
  <si>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</si>
  <si>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</si>
  <si>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支出总计</t>
  </si>
  <si>
    <t>二、非税收入小计</t>
  </si>
  <si>
    <t>政府性基金收入</t>
  </si>
  <si>
    <t>政府性基金收入</t>
  </si>
  <si>
    <t>政府性基金支出</t>
  </si>
  <si>
    <t>政府性基金支出</t>
  </si>
  <si>
    <t xml:space="preserve">    革命老区及民族和边境地区转移支付收入</t>
  </si>
  <si>
    <t xml:space="preserve">    县级基本财力保障机制奖补资金收入</t>
  </si>
  <si>
    <t xml:space="preserve">    义务教育等转移支付收入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</si>
  <si>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</si>
  <si>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</si>
  <si>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</si>
  <si>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  均衡性转移支付补助收入</t>
  </si>
  <si>
    <t xml:space="preserve">    体制补助收入</t>
  </si>
  <si>
    <t xml:space="preserve">    所得税基数返还收入</t>
  </si>
  <si>
    <t xml:space="preserve">    增值税和消费性税收返还收入</t>
  </si>
  <si>
    <t>专项转移支付收入</t>
  </si>
  <si>
    <t>　　　　　失业保险上级上解支出</t>
  </si>
  <si>
    <t>　　　　　生育保险上级上解支出</t>
  </si>
  <si>
    <t>　　　　　城镇职工基本医疗保险上级上解支出</t>
  </si>
  <si>
    <t>　　　　　城镇居民基本医疗保险上级上解支出</t>
  </si>
  <si>
    <t>　　　　　工伤保险上级上解支出</t>
  </si>
  <si>
    <t>2.因公出国（境）费用</t>
  </si>
  <si>
    <t>3.公务接待费</t>
  </si>
  <si>
    <t>4.公务用车费</t>
  </si>
  <si>
    <t>其中：（1）公务用车运行维护费</t>
  </si>
  <si>
    <t xml:space="preserve">      （2）公务用车购置费</t>
  </si>
  <si>
    <t>合   计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</si>
  <si>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</si>
  <si>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</si>
  <si>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</si>
  <si>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</si>
  <si>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</si>
  <si>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</si>
  <si>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</si>
  <si>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</si>
  <si>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</si>
  <si>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</si>
  <si>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</si>
  <si>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</si>
  <si>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</si>
  <si>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</si>
  <si>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</si>
  <si>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</si>
  <si>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</si>
  <si>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</si>
  <si>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 xml:space="preserve">  工商行政管理事务</t>
  </si>
  <si>
    <t xml:space="preserve">    行政运行</t>
  </si>
  <si>
    <t xml:space="preserve">  质量技术监督与检验检疫事务</t>
  </si>
  <si>
    <t xml:space="preserve">    事业运行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</si>
  <si>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其他一般公共服务支出(款)</t>
    </r>
  </si>
  <si>
    <t xml:space="preserve">    其他一般公共服务支出(项)</t>
  </si>
  <si>
    <t>二、国防支出</t>
  </si>
  <si>
    <t xml:space="preserve">  国防动员</t>
  </si>
  <si>
    <t xml:space="preserve">    民兵</t>
  </si>
  <si>
    <t>三、公共安全支出</t>
  </si>
  <si>
    <t xml:space="preserve">  临时救助</t>
  </si>
  <si>
    <t xml:space="preserve">    临时救助支出</t>
  </si>
  <si>
    <t xml:space="preserve">  特困人员供养</t>
  </si>
  <si>
    <t xml:space="preserve">    农村五保供养支出</t>
  </si>
  <si>
    <t xml:space="preserve">  其他生活救助</t>
  </si>
  <si>
    <t xml:space="preserve">    其他公立医院支出</t>
  </si>
  <si>
    <t xml:space="preserve">    卫生监督机构</t>
  </si>
  <si>
    <t xml:space="preserve">    其他公共卫生支出</t>
  </si>
  <si>
    <t xml:space="preserve">    执法监管</t>
  </si>
  <si>
    <t xml:space="preserve">  制造业</t>
  </si>
  <si>
    <t xml:space="preserve">    纺织业</t>
  </si>
  <si>
    <t>1.因公出国（境）费用</t>
  </si>
  <si>
    <t>2.公务接待费</t>
  </si>
  <si>
    <t>3.公务用车费</t>
  </si>
  <si>
    <t>2014年执行数</t>
  </si>
  <si>
    <t>2016年完成数</t>
  </si>
  <si>
    <t>表九：2017年阿克陶县公共财政预算收支安排明细</t>
  </si>
  <si>
    <t>2016年执行数为预算数的%</t>
  </si>
  <si>
    <t>2017年完成数</t>
  </si>
  <si>
    <r>
      <t xml:space="preserve">    增值税（</t>
    </r>
    <r>
      <rPr>
        <sz val="11"/>
        <color indexed="8"/>
        <rFont val="宋体"/>
        <family val="0"/>
      </rPr>
      <t>50</t>
    </r>
    <r>
      <rPr>
        <sz val="11"/>
        <color theme="1"/>
        <rFont val="Calibri"/>
        <family val="0"/>
      </rPr>
      <t>%）</t>
    </r>
  </si>
  <si>
    <t xml:space="preserve">    农村综合改革转移支付收入</t>
  </si>
  <si>
    <t>非税收入</t>
  </si>
  <si>
    <t>转移性收入</t>
  </si>
  <si>
    <t xml:space="preserve">    国有资本经营收入</t>
  </si>
  <si>
    <t xml:space="preserve">    国有资本经营预算转移支付收入</t>
  </si>
  <si>
    <t>国有资本经营收入</t>
  </si>
  <si>
    <t>社会保障和就业支出</t>
  </si>
  <si>
    <t>国有资本经营预算支出</t>
  </si>
  <si>
    <t>转移性支出</t>
  </si>
  <si>
    <t xml:space="preserve">    补充全国社会保障基金</t>
  </si>
  <si>
    <t xml:space="preserve">    解决历史遗留问题及改革成本支出</t>
  </si>
  <si>
    <t xml:space="preserve">    国有企业政策性补贴</t>
  </si>
  <si>
    <t xml:space="preserve">    金融国有资本经营预算支出</t>
  </si>
  <si>
    <t xml:space="preserve">    其他国有资本经营预算支出</t>
  </si>
  <si>
    <t xml:space="preserve">    国有资本经营预算转移支付</t>
  </si>
  <si>
    <t xml:space="preserve">    调出资金</t>
  </si>
  <si>
    <t>国有资本经营支出</t>
  </si>
  <si>
    <t xml:space="preserve">    治安管理</t>
  </si>
  <si>
    <t xml:space="preserve">    “两庭”建设</t>
  </si>
  <si>
    <t xml:space="preserve">    农村中小学校舍建设</t>
  </si>
  <si>
    <t xml:space="preserve">  新闻出版广播影视</t>
  </si>
  <si>
    <t xml:space="preserve">    电影</t>
  </si>
  <si>
    <t xml:space="preserve">    版权管理</t>
  </si>
  <si>
    <t xml:space="preserve">  行政事业单位离退休</t>
  </si>
  <si>
    <t xml:space="preserve">    未归口管理的行政单位离退休</t>
  </si>
  <si>
    <t xml:space="preserve">    职业培训补贴</t>
  </si>
  <si>
    <t xml:space="preserve">    其他就业补助支出</t>
  </si>
  <si>
    <t xml:space="preserve">    残疾人就业和扶贫</t>
  </si>
  <si>
    <t xml:space="preserve">  自然灾害生活救助</t>
  </si>
  <si>
    <t xml:space="preserve">    中央自然灾害生活补助</t>
  </si>
  <si>
    <t xml:space="preserve">  红十字事业</t>
  </si>
  <si>
    <t xml:space="preserve">    行政运行</t>
  </si>
  <si>
    <t xml:space="preserve">    中医(民族)医院</t>
  </si>
  <si>
    <t xml:space="preserve">    计划生育服务</t>
  </si>
  <si>
    <t xml:space="preserve">  天然林保护</t>
  </si>
  <si>
    <t xml:space="preserve">    森林管护</t>
  </si>
  <si>
    <t xml:space="preserve">    退耕还林工程建设</t>
  </si>
  <si>
    <t xml:space="preserve">    科技转化与推广服务</t>
  </si>
  <si>
    <t xml:space="preserve">    防灾救灾</t>
  </si>
  <si>
    <t xml:space="preserve">    农田水利</t>
  </si>
  <si>
    <t xml:space="preserve">    江河湖库水系综合整治</t>
  </si>
  <si>
    <t xml:space="preserve">    土地治理</t>
  </si>
  <si>
    <t xml:space="preserve">    产业化经营</t>
  </si>
  <si>
    <t xml:space="preserve">    其他农业综合开发支出</t>
  </si>
  <si>
    <t xml:space="preserve">    农村综合改革示范试点补助</t>
  </si>
  <si>
    <t xml:space="preserve">  普惠金融发展支出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</si>
  <si>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</si>
  <si>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</si>
  <si>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</si>
  <si>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其他普惠金融发展支出</t>
  </si>
  <si>
    <t xml:space="preserve">    公路运输管理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</si>
  <si>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</si>
  <si>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</si>
  <si>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</si>
  <si>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</si>
  <si>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</si>
  <si>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其他旅游业管理与服务支出</t>
  </si>
  <si>
    <t xml:space="preserve">    地质矿产资源利用与保护</t>
  </si>
  <si>
    <t xml:space="preserve">    少数民族地区游牧民定居工程</t>
  </si>
  <si>
    <t>十八、债务付息支出</t>
  </si>
  <si>
    <t xml:space="preserve">  地方政府一般债务付息支出</t>
  </si>
  <si>
    <t xml:space="preserve">    地方政府其他一般债务付息支出</t>
  </si>
  <si>
    <t xml:space="preserve">    增值税（50%）</t>
  </si>
  <si>
    <t>表一：2017年阿克陶县公共财政预算收入情况</t>
  </si>
  <si>
    <t>表二：2017年阿克陶县公共财政预算支出情况</t>
  </si>
  <si>
    <t>表三：2017年阿克陶县政府性基金收入情况</t>
  </si>
  <si>
    <t>表四：2017年阿克陶县政府性基金支出情况</t>
  </si>
  <si>
    <t>表五：2018年阿克陶县公共预算收入安排情况</t>
  </si>
  <si>
    <t>2018年预算数</t>
  </si>
  <si>
    <t>表六：2018年阿克陶县公共财政预算支出安排情况</t>
  </si>
  <si>
    <t>表七：2018年阿克陶县政府性基金收入安排情况</t>
  </si>
  <si>
    <t>表八：2018年阿克陶县政府性基金支出情况</t>
  </si>
  <si>
    <r>
      <t>2017</t>
    </r>
    <r>
      <rPr>
        <sz val="11"/>
        <color indexed="8"/>
        <rFont val="宋体"/>
        <family val="0"/>
      </rPr>
      <t>年完成数</t>
    </r>
  </si>
  <si>
    <r>
      <t>2018</t>
    </r>
    <r>
      <rPr>
        <sz val="11"/>
        <color indexed="8"/>
        <rFont val="宋体"/>
        <family val="0"/>
      </rPr>
      <t>年预算数</t>
    </r>
  </si>
  <si>
    <t>债务转贷收入</t>
  </si>
  <si>
    <t xml:space="preserve">    城乡居民医疗保险转移支付收入</t>
  </si>
  <si>
    <t xml:space="preserve">    贫困地区转移支付收入</t>
  </si>
  <si>
    <t>表十：2017年阿克陶县“三公经费”支出情况</t>
  </si>
  <si>
    <r>
      <t>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年完成数</t>
    </r>
  </si>
  <si>
    <t>表十一：2018年阿克陶县“三公经费”预算安排情况</t>
  </si>
  <si>
    <t>2018年完成数</t>
  </si>
  <si>
    <t xml:space="preserve">    网络侦控管理</t>
  </si>
  <si>
    <t xml:space="preserve">    公路建设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</si>
  <si>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theme="1"/>
        <rFont val="Calibri"/>
        <family val="0"/>
      </rPr>
      <t>国土整治</t>
    </r>
  </si>
  <si>
    <t>2017年阿克陶县社会保险基金预算收入表</t>
  </si>
  <si>
    <r>
      <t>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年预算数</t>
    </r>
  </si>
  <si>
    <r>
      <t>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年执行数</t>
    </r>
  </si>
  <si>
    <r>
      <t>2017</t>
    </r>
    <r>
      <rPr>
        <b/>
        <sz val="22"/>
        <color indexed="8"/>
        <rFont val="仿宋"/>
        <family val="3"/>
      </rPr>
      <t>年阿克陶县社会保险基金预算支出执行情况表</t>
    </r>
  </si>
  <si>
    <r>
      <t>2017</t>
    </r>
    <r>
      <rPr>
        <b/>
        <sz val="22"/>
        <color indexed="8"/>
        <rFont val="仿宋"/>
        <family val="3"/>
      </rPr>
      <t>年阿克陶县社会保险基金预算结余执行情况表</t>
    </r>
  </si>
  <si>
    <r>
      <t>201</t>
    </r>
    <r>
      <rPr>
        <sz val="11"/>
        <color indexed="8"/>
        <rFont val="宋体"/>
        <family val="0"/>
      </rPr>
      <t>7</t>
    </r>
    <r>
      <rPr>
        <sz val="11"/>
        <color theme="1"/>
        <rFont val="Calibri"/>
        <family val="0"/>
      </rPr>
      <t>年预算数</t>
    </r>
  </si>
  <si>
    <r>
      <t>2018</t>
    </r>
    <r>
      <rPr>
        <b/>
        <sz val="22"/>
        <color indexed="8"/>
        <rFont val="仿宋"/>
        <family val="3"/>
      </rPr>
      <t>年阿克陶县社会保险基金预算收入表</t>
    </r>
  </si>
  <si>
    <r>
      <t>201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年预算数</t>
    </r>
  </si>
  <si>
    <r>
      <t>2018</t>
    </r>
    <r>
      <rPr>
        <b/>
        <sz val="22"/>
        <color indexed="8"/>
        <rFont val="仿宋"/>
        <family val="3"/>
      </rPr>
      <t>年阿克陶县社会保险基金预算支出表</t>
    </r>
  </si>
  <si>
    <r>
      <t>2018</t>
    </r>
    <r>
      <rPr>
        <b/>
        <sz val="22"/>
        <color indexed="8"/>
        <rFont val="仿宋"/>
        <family val="3"/>
      </rPr>
      <t>年阿克陶县社会保险基金预算结余表</t>
    </r>
  </si>
  <si>
    <t>2018年阿克陶县国有资本经营预算收入</t>
  </si>
  <si>
    <r>
      <t>201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年完成数</t>
    </r>
  </si>
  <si>
    <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年预算数</t>
    </r>
  </si>
  <si>
    <t>2018年阿克陶县国有资本经营预算支出</t>
  </si>
  <si>
    <t>八、机关事业养老保险基金收入</t>
  </si>
  <si>
    <t>七、城乡居民基本医疗保险基金收入</t>
  </si>
  <si>
    <t>七、城乡居民基本医疗保险基金支出</t>
  </si>
  <si>
    <t>八、机关事业养老保险基金年末累计结余</t>
  </si>
  <si>
    <t>八、机关事业养老保险基金年末累计结余</t>
  </si>
  <si>
    <t>七、城乡居民基本医疗保险基金年末累计结余</t>
  </si>
  <si>
    <t>七、城乡居民基本医疗保险基金年末累计结余</t>
  </si>
  <si>
    <t>八、机关事业养老保险基金本年收支结余</t>
  </si>
  <si>
    <t>七、城乡居民基本医疗保险基金本年收支结余</t>
  </si>
  <si>
    <t>八、机关事业养老保险基金支出</t>
  </si>
  <si>
    <t>七、城乡居民基本医疗保险基金支出</t>
  </si>
  <si>
    <t>债务限额及余额情况表</t>
  </si>
  <si>
    <t>截至月份：2017年12月</t>
  </si>
  <si>
    <t>单位：亿元</t>
  </si>
  <si>
    <t>区域</t>
  </si>
  <si>
    <t>2017年财政部下达债务限额</t>
  </si>
  <si>
    <t>2016年末债务余额</t>
  </si>
  <si>
    <t>2017年末债务余额</t>
  </si>
  <si>
    <t>2017年限额与余额差值</t>
  </si>
  <si>
    <t>小计</t>
  </si>
  <si>
    <t>一般债务</t>
  </si>
  <si>
    <t>专项债务</t>
  </si>
  <si>
    <t xml:space="preserve">专项债务 </t>
  </si>
  <si>
    <t xml:space="preserve">    阿克陶县</t>
  </si>
  <si>
    <t>专项债务限额及余额情况表</t>
  </si>
  <si>
    <t>截至月份：2018年1月</t>
  </si>
  <si>
    <t>专项债务限额</t>
  </si>
  <si>
    <t>专项债务余额</t>
  </si>
  <si>
    <t xml:space="preserve">    单位：万元</t>
  </si>
  <si>
    <t>项目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</si>
  <si>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</si>
  <si>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</si>
  <si>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</si>
  <si>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</si>
  <si>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</si>
  <si>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</si>
  <si>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</si>
  <si>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</si>
  <si>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</si>
  <si>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</si>
  <si>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</si>
  <si>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</si>
  <si>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</si>
  <si>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</si>
  <si>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</si>
  <si>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</si>
  <si>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</si>
  <si>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</si>
  <si>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</si>
  <si>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</si>
  <si>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</si>
  <si>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</si>
  <si>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</si>
  <si>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</si>
  <si>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</si>
  <si>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</si>
  <si>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</si>
  <si>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合计</t>
  </si>
  <si>
    <t>预算数</t>
  </si>
  <si>
    <t>预算数</t>
  </si>
  <si>
    <t>2018年阿克陶县政府性基金转移性预算表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</si>
</sst>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仿宋"/>
      <family val="3"/>
    </font>
    <font>
      <b/>
      <sz val="20"/>
      <color indexed="8"/>
      <name val="仿宋"/>
      <family val="3"/>
    </font>
    <font>
      <b/>
      <sz val="15"/>
      <name val="微软雅黑"/>
      <family val="2"/>
    </font>
    <font>
      <sz val="9"/>
      <name val="SimSun"/>
      <family val="0"/>
    </font>
    <font>
      <sz val="12"/>
      <name val="SimSun"/>
      <family val="0"/>
    </font>
    <font>
      <sz val="11"/>
      <name val="SimSun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5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" fillId="32" borderId="9" applyNumberFormat="0" applyFont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0" fontId="0" fillId="0" borderId="10" xfId="33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0" xfId="33" applyNumberFormat="1" applyFont="1" applyBorder="1" applyAlignment="1">
      <alignment vertical="center"/>
    </xf>
    <xf numFmtId="185" fontId="3" fillId="0" borderId="10" xfId="33" applyNumberFormat="1" applyFont="1" applyBorder="1" applyAlignment="1">
      <alignment vertical="center"/>
    </xf>
    <xf numFmtId="185" fontId="0" fillId="0" borderId="10" xfId="33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0" xfId="33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0" fontId="3" fillId="0" borderId="21" xfId="33" applyNumberFormat="1" applyFont="1" applyBorder="1" applyAlignment="1">
      <alignment vertical="center"/>
    </xf>
    <xf numFmtId="185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0" fontId="3" fillId="0" borderId="20" xfId="33" applyNumberFormat="1" applyFont="1" applyBorder="1" applyAlignment="1">
      <alignment horizontal="right" vertical="center"/>
    </xf>
    <xf numFmtId="10" fontId="0" fillId="0" borderId="20" xfId="33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0" fontId="3" fillId="0" borderId="20" xfId="33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4" fontId="9" fillId="0" borderId="24" xfId="0" applyNumberFormat="1" applyFont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4" fontId="9" fillId="0" borderId="2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186" fontId="13" fillId="0" borderId="0" xfId="40" applyNumberFormat="1" applyFont="1" applyFill="1" applyBorder="1" applyAlignment="1">
      <alignment horizontal="right" vertical="center"/>
      <protection/>
    </xf>
    <xf numFmtId="10" fontId="13" fillId="0" borderId="0" xfId="3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86" fontId="14" fillId="0" borderId="0" xfId="0" applyNumberFormat="1" applyFont="1" applyFill="1" applyBorder="1" applyAlignment="1">
      <alignment horizontal="right" vertical="center"/>
    </xf>
    <xf numFmtId="10" fontId="14" fillId="0" borderId="0" xfId="33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2.00390625" style="0" customWidth="1"/>
    <col min="2" max="2" width="16.140625" style="0" hidden="1" customWidth="1"/>
    <col min="3" max="4" width="18.7109375" style="0" customWidth="1"/>
    <col min="5" max="5" width="14.8515625" style="0" customWidth="1"/>
  </cols>
  <sheetData>
    <row r="1" spans="1:5" ht="39.75" customHeight="1">
      <c r="A1" s="115" t="s">
        <v>532</v>
      </c>
      <c r="B1" s="115"/>
      <c r="C1" s="115"/>
      <c r="D1" s="115"/>
      <c r="E1" s="115"/>
    </row>
    <row r="2" spans="1:5" ht="27" customHeight="1">
      <c r="A2" s="1"/>
      <c r="B2" s="1"/>
      <c r="C2" s="1"/>
      <c r="D2" s="1"/>
      <c r="E2" s="1" t="s">
        <v>50</v>
      </c>
    </row>
    <row r="3" spans="1:5" s="1" customFormat="1" ht="21" customHeight="1">
      <c r="A3" s="19" t="s">
        <v>0</v>
      </c>
      <c r="B3" s="49" t="s">
        <v>2</v>
      </c>
      <c r="C3" s="49" t="s">
        <v>464</v>
      </c>
      <c r="D3" s="49" t="s">
        <v>467</v>
      </c>
      <c r="E3" s="50" t="s">
        <v>3</v>
      </c>
    </row>
    <row r="4" spans="1:5" s="1" customFormat="1" ht="21" customHeight="1">
      <c r="A4" s="85" t="s">
        <v>5</v>
      </c>
      <c r="B4" s="39">
        <f>SUM(B5:B19)</f>
        <v>18671</v>
      </c>
      <c r="C4" s="39">
        <f>SUM(C5:C19)</f>
        <v>24465</v>
      </c>
      <c r="D4" s="39">
        <f>SUM(D5:D19)</f>
        <v>26261</v>
      </c>
      <c r="E4" s="81">
        <f>(D4/C4-1)</f>
        <v>0.07341099529940731</v>
      </c>
    </row>
    <row r="5" spans="1:5" ht="21" customHeight="1">
      <c r="A5" s="20" t="s">
        <v>531</v>
      </c>
      <c r="B5" s="23">
        <v>3125</v>
      </c>
      <c r="C5" s="23">
        <v>8304</v>
      </c>
      <c r="D5" s="23">
        <v>13666</v>
      </c>
      <c r="E5" s="82">
        <f aca="true" t="shared" si="0" ref="E5:E29">(D5/C5-1)</f>
        <v>0.645712909441233</v>
      </c>
    </row>
    <row r="6" spans="1:5" ht="21" customHeight="1">
      <c r="A6" s="20" t="s">
        <v>8</v>
      </c>
      <c r="B6" s="23">
        <v>8541</v>
      </c>
      <c r="C6" s="23">
        <v>5456</v>
      </c>
      <c r="D6" s="23">
        <v>1</v>
      </c>
      <c r="E6" s="82">
        <f t="shared" si="0"/>
        <v>-0.9998167155425219</v>
      </c>
    </row>
    <row r="7" spans="1:5" ht="21" customHeight="1">
      <c r="A7" s="20" t="s">
        <v>10</v>
      </c>
      <c r="B7" s="23">
        <v>1045</v>
      </c>
      <c r="C7" s="23">
        <f>422+1316</f>
        <v>1738</v>
      </c>
      <c r="D7" s="23">
        <v>2192</v>
      </c>
      <c r="E7" s="82">
        <f t="shared" si="0"/>
        <v>0.26121979286536257</v>
      </c>
    </row>
    <row r="8" spans="1:5" ht="21" customHeight="1">
      <c r="A8" s="20" t="s">
        <v>12</v>
      </c>
      <c r="B8" s="23"/>
      <c r="C8" s="23"/>
      <c r="D8" s="23"/>
      <c r="E8" s="82"/>
    </row>
    <row r="9" spans="1:5" ht="21" customHeight="1">
      <c r="A9" s="20" t="s">
        <v>14</v>
      </c>
      <c r="B9" s="23">
        <v>1163</v>
      </c>
      <c r="C9" s="23">
        <v>1544</v>
      </c>
      <c r="D9" s="23">
        <v>2202</v>
      </c>
      <c r="E9" s="82">
        <f t="shared" si="0"/>
        <v>0.42616580310880825</v>
      </c>
    </row>
    <row r="10" spans="1:5" ht="21" customHeight="1">
      <c r="A10" s="20" t="s">
        <v>16</v>
      </c>
      <c r="B10" s="23">
        <v>2823</v>
      </c>
      <c r="C10" s="23">
        <v>1531</v>
      </c>
      <c r="D10" s="23">
        <v>2590</v>
      </c>
      <c r="E10" s="82">
        <f t="shared" si="0"/>
        <v>0.6917047681254083</v>
      </c>
    </row>
    <row r="11" spans="1:5" ht="21" customHeight="1">
      <c r="A11" s="20" t="s">
        <v>18</v>
      </c>
      <c r="B11" s="23"/>
      <c r="C11" s="23"/>
      <c r="D11" s="23"/>
      <c r="E11" s="82"/>
    </row>
    <row r="12" spans="1:5" ht="21" customHeight="1">
      <c r="A12" s="20" t="s">
        <v>20</v>
      </c>
      <c r="B12" s="23">
        <v>1025</v>
      </c>
      <c r="C12" s="23">
        <v>1182</v>
      </c>
      <c r="D12" s="23">
        <v>1032</v>
      </c>
      <c r="E12" s="82">
        <f t="shared" si="0"/>
        <v>-0.12690355329949243</v>
      </c>
    </row>
    <row r="13" spans="1:5" ht="21" customHeight="1">
      <c r="A13" s="20" t="s">
        <v>22</v>
      </c>
      <c r="B13" s="23">
        <v>56</v>
      </c>
      <c r="C13" s="23">
        <v>104</v>
      </c>
      <c r="D13" s="23">
        <v>283</v>
      </c>
      <c r="E13" s="82">
        <f t="shared" si="0"/>
        <v>1.7211538461538463</v>
      </c>
    </row>
    <row r="14" spans="1:5" ht="21" customHeight="1">
      <c r="A14" s="20" t="s">
        <v>24</v>
      </c>
      <c r="B14" s="23">
        <v>246</v>
      </c>
      <c r="C14" s="23">
        <v>255</v>
      </c>
      <c r="D14" s="23">
        <v>359</v>
      </c>
      <c r="E14" s="82">
        <f t="shared" si="0"/>
        <v>0.40784313725490207</v>
      </c>
    </row>
    <row r="15" spans="1:5" ht="21" customHeight="1">
      <c r="A15" s="20" t="s">
        <v>26</v>
      </c>
      <c r="B15" s="23">
        <v>26</v>
      </c>
      <c r="C15" s="23">
        <v>127</v>
      </c>
      <c r="D15" s="23">
        <v>151</v>
      </c>
      <c r="E15" s="82">
        <f t="shared" si="0"/>
        <v>0.18897637795275601</v>
      </c>
    </row>
    <row r="16" spans="1:5" ht="21" customHeight="1">
      <c r="A16" s="20" t="s">
        <v>28</v>
      </c>
      <c r="B16" s="23">
        <v>72</v>
      </c>
      <c r="C16" s="23">
        <v>226</v>
      </c>
      <c r="D16" s="23">
        <v>238</v>
      </c>
      <c r="E16" s="82">
        <f t="shared" si="0"/>
        <v>0.053097345132743445</v>
      </c>
    </row>
    <row r="17" spans="1:5" ht="21" customHeight="1">
      <c r="A17" s="20" t="s">
        <v>30</v>
      </c>
      <c r="B17" s="23">
        <v>146</v>
      </c>
      <c r="C17" s="23">
        <v>381</v>
      </c>
      <c r="D17" s="23">
        <v>371</v>
      </c>
      <c r="E17" s="82">
        <f t="shared" si="0"/>
        <v>-0.026246719160105014</v>
      </c>
    </row>
    <row r="18" spans="1:5" ht="21" customHeight="1">
      <c r="A18" s="20" t="s">
        <v>32</v>
      </c>
      <c r="B18" s="23">
        <v>127</v>
      </c>
      <c r="C18" s="23">
        <v>3487</v>
      </c>
      <c r="D18" s="23">
        <v>2997</v>
      </c>
      <c r="E18" s="82">
        <f t="shared" si="0"/>
        <v>-0.14052193862919415</v>
      </c>
    </row>
    <row r="19" spans="1:5" ht="21" customHeight="1">
      <c r="A19" s="20" t="s">
        <v>34</v>
      </c>
      <c r="B19" s="23">
        <v>276</v>
      </c>
      <c r="C19" s="23">
        <v>130</v>
      </c>
      <c r="D19" s="23">
        <v>179</v>
      </c>
      <c r="E19" s="82">
        <f t="shared" si="0"/>
        <v>0.3769230769230769</v>
      </c>
    </row>
    <row r="20" spans="1:5" ht="21" customHeight="1">
      <c r="A20" s="20"/>
      <c r="B20" s="23"/>
      <c r="C20" s="23"/>
      <c r="D20" s="23"/>
      <c r="E20" s="82"/>
    </row>
    <row r="21" spans="1:5" ht="21" customHeight="1">
      <c r="A21" s="20" t="s">
        <v>36</v>
      </c>
      <c r="B21" s="22">
        <f>SUM(B22:B27)</f>
        <v>2422</v>
      </c>
      <c r="C21" s="22">
        <f>SUM(C22:C27)</f>
        <v>5960</v>
      </c>
      <c r="D21" s="22">
        <f>SUM(D22:D27)</f>
        <v>7637</v>
      </c>
      <c r="E21" s="84">
        <f t="shared" si="0"/>
        <v>0.28137583892617446</v>
      </c>
    </row>
    <row r="22" spans="1:5" ht="21" customHeight="1">
      <c r="A22" s="20" t="s">
        <v>38</v>
      </c>
      <c r="B22" s="23">
        <v>599</v>
      </c>
      <c r="C22" s="23">
        <v>1233</v>
      </c>
      <c r="D22" s="23">
        <v>1254</v>
      </c>
      <c r="E22" s="82">
        <f t="shared" si="0"/>
        <v>0.017031630170316392</v>
      </c>
    </row>
    <row r="23" spans="1:5" ht="21" customHeight="1">
      <c r="A23" s="20" t="s">
        <v>40</v>
      </c>
      <c r="B23" s="23">
        <v>976</v>
      </c>
      <c r="C23" s="23">
        <v>2532</v>
      </c>
      <c r="D23" s="23">
        <v>3240</v>
      </c>
      <c r="E23" s="82">
        <f t="shared" si="0"/>
        <v>0.2796208530805686</v>
      </c>
    </row>
    <row r="24" spans="1:5" ht="21" customHeight="1">
      <c r="A24" s="20" t="s">
        <v>42</v>
      </c>
      <c r="B24" s="23">
        <v>391</v>
      </c>
      <c r="C24" s="23">
        <v>843</v>
      </c>
      <c r="D24" s="23">
        <v>654</v>
      </c>
      <c r="E24" s="82">
        <f t="shared" si="0"/>
        <v>-0.2241992882562278</v>
      </c>
    </row>
    <row r="25" spans="1:5" ht="21" customHeight="1">
      <c r="A25" s="20" t="s">
        <v>44</v>
      </c>
      <c r="B25" s="23"/>
      <c r="C25" s="23"/>
      <c r="D25" s="23"/>
      <c r="E25" s="82"/>
    </row>
    <row r="26" spans="1:5" ht="21" customHeight="1">
      <c r="A26" s="20" t="s">
        <v>45</v>
      </c>
      <c r="B26" s="23">
        <v>456</v>
      </c>
      <c r="C26" s="23">
        <v>1352</v>
      </c>
      <c r="D26" s="23">
        <v>2489</v>
      </c>
      <c r="E26" s="82">
        <f t="shared" si="0"/>
        <v>0.8409763313609468</v>
      </c>
    </row>
    <row r="27" spans="1:5" ht="21" customHeight="1">
      <c r="A27" s="20" t="s">
        <v>47</v>
      </c>
      <c r="B27" s="23"/>
      <c r="C27" s="23"/>
      <c r="D27" s="23"/>
      <c r="E27" s="82"/>
    </row>
    <row r="28" spans="1:5" ht="21" customHeight="1">
      <c r="A28" s="20"/>
      <c r="B28" s="23"/>
      <c r="C28" s="23"/>
      <c r="D28" s="23"/>
      <c r="E28" s="82"/>
    </row>
    <row r="29" spans="1:5" ht="21" customHeight="1">
      <c r="A29" s="58" t="s">
        <v>48</v>
      </c>
      <c r="B29" s="24">
        <f>B4+B21</f>
        <v>21093</v>
      </c>
      <c r="C29" s="24">
        <f>C4+C21</f>
        <v>30425</v>
      </c>
      <c r="D29" s="24">
        <f>D4+D21</f>
        <v>33898</v>
      </c>
      <c r="E29" s="59">
        <f t="shared" si="0"/>
        <v>0.11414954806902222</v>
      </c>
    </row>
  </sheetData>
  <sheetProtection/>
  <mergeCells count="1">
    <mergeCell ref="A1:E1"/>
  </mergeCells>
  <printOptions/>
  <pageMargins left="0.7086614173228347" right="0.56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0.57421875" style="0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546</v>
      </c>
      <c r="B1" s="115"/>
      <c r="C1" s="115"/>
      <c r="D1" s="115"/>
      <c r="E1" s="115"/>
    </row>
    <row r="2" ht="27" customHeight="1">
      <c r="E2" s="17" t="s">
        <v>50</v>
      </c>
    </row>
    <row r="3" spans="1:5" s="1" customFormat="1" ht="21" customHeight="1">
      <c r="A3" s="19" t="s">
        <v>0</v>
      </c>
      <c r="B3" s="49" t="s">
        <v>2</v>
      </c>
      <c r="C3" s="49" t="s">
        <v>464</v>
      </c>
      <c r="D3" s="45" t="s">
        <v>547</v>
      </c>
      <c r="E3" s="50" t="s">
        <v>49</v>
      </c>
    </row>
    <row r="4" spans="1:5" ht="21" customHeight="1">
      <c r="A4" s="63" t="s">
        <v>460</v>
      </c>
      <c r="B4" s="23">
        <v>6</v>
      </c>
      <c r="C4" s="23">
        <v>0</v>
      </c>
      <c r="D4" s="23">
        <v>0</v>
      </c>
      <c r="E4" s="60"/>
    </row>
    <row r="5" spans="1:5" ht="21" customHeight="1">
      <c r="A5" s="63" t="s">
        <v>461</v>
      </c>
      <c r="B5" s="23">
        <v>284.6</v>
      </c>
      <c r="C5" s="23">
        <v>68.86</v>
      </c>
      <c r="D5" s="23">
        <v>118.82</v>
      </c>
      <c r="E5" s="60">
        <f>(D5-C5)/C5</f>
        <v>0.7255300609933197</v>
      </c>
    </row>
    <row r="6" spans="1:5" ht="21" customHeight="1">
      <c r="A6" s="63" t="s">
        <v>462</v>
      </c>
      <c r="B6" s="23">
        <f>B7+B8</f>
        <v>1384.9</v>
      </c>
      <c r="C6" s="23">
        <f>SUM(C7:C8)</f>
        <v>640.99</v>
      </c>
      <c r="D6" s="23">
        <f>SUM(D7:D8)</f>
        <v>767.44</v>
      </c>
      <c r="E6" s="60">
        <f>(D6-C6)/C6</f>
        <v>0.19727296837704184</v>
      </c>
    </row>
    <row r="7" spans="1:5" ht="21" customHeight="1">
      <c r="A7" s="20" t="s">
        <v>418</v>
      </c>
      <c r="B7" s="23">
        <v>917.4</v>
      </c>
      <c r="C7" s="23">
        <v>464.59</v>
      </c>
      <c r="D7" s="23">
        <v>481.44</v>
      </c>
      <c r="E7" s="60">
        <f>(D7-C7)/C7</f>
        <v>0.03626853785057798</v>
      </c>
    </row>
    <row r="8" spans="1:5" ht="21" customHeight="1">
      <c r="A8" s="61" t="s">
        <v>419</v>
      </c>
      <c r="B8" s="23">
        <v>467.5</v>
      </c>
      <c r="C8" s="23">
        <v>176.4</v>
      </c>
      <c r="D8" s="23">
        <v>286</v>
      </c>
      <c r="E8" s="60">
        <f>(D8-C8)/C8</f>
        <v>0.6213151927437641</v>
      </c>
    </row>
    <row r="9" spans="1:5" ht="21" customHeight="1">
      <c r="A9" s="20"/>
      <c r="B9" s="23"/>
      <c r="C9" s="23"/>
      <c r="D9" s="23"/>
      <c r="E9" s="60"/>
    </row>
    <row r="10" spans="1:5" ht="21" customHeight="1">
      <c r="A10" s="20"/>
      <c r="B10" s="23"/>
      <c r="C10" s="23"/>
      <c r="D10" s="23"/>
      <c r="E10" s="60"/>
    </row>
    <row r="11" spans="1:5" ht="21" customHeight="1">
      <c r="A11" s="58" t="s">
        <v>420</v>
      </c>
      <c r="B11" s="44" t="e">
        <f>#REF!+B4+B5+B6</f>
        <v>#REF!</v>
      </c>
      <c r="C11" s="44">
        <f>C4+C5+C6</f>
        <v>709.85</v>
      </c>
      <c r="D11" s="44">
        <f>D4+D5+D6</f>
        <v>886.26</v>
      </c>
      <c r="E11" s="62">
        <f>(D11-C11)/C11</f>
        <v>0.24851729238571524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0.421875" style="0" bestFit="1" customWidth="1"/>
    <col min="2" max="2" width="13.421875" style="0" customWidth="1"/>
    <col min="3" max="3" width="13.421875" style="0" bestFit="1" customWidth="1"/>
    <col min="4" max="4" width="15.28125" style="0" bestFit="1" customWidth="1"/>
  </cols>
  <sheetData>
    <row r="1" spans="1:4" ht="39.75" customHeight="1">
      <c r="A1" s="119" t="s">
        <v>548</v>
      </c>
      <c r="B1" s="119"/>
      <c r="C1" s="119"/>
      <c r="D1" s="119"/>
    </row>
    <row r="2" ht="27" customHeight="1">
      <c r="D2" s="17" t="s">
        <v>50</v>
      </c>
    </row>
    <row r="3" spans="1:4" s="1" customFormat="1" ht="21" customHeight="1">
      <c r="A3" s="19" t="s">
        <v>0</v>
      </c>
      <c r="B3" s="49" t="s">
        <v>467</v>
      </c>
      <c r="C3" s="45" t="s">
        <v>549</v>
      </c>
      <c r="D3" s="50" t="s">
        <v>49</v>
      </c>
    </row>
    <row r="4" spans="1:4" ht="21" customHeight="1">
      <c r="A4" s="20" t="s">
        <v>415</v>
      </c>
      <c r="B4" s="23">
        <v>0</v>
      </c>
      <c r="C4" s="23">
        <v>0</v>
      </c>
      <c r="D4" s="60">
        <v>0</v>
      </c>
    </row>
    <row r="5" spans="1:4" ht="21" customHeight="1">
      <c r="A5" s="20" t="s">
        <v>416</v>
      </c>
      <c r="B5" s="23">
        <v>118.82</v>
      </c>
      <c r="C5" s="23">
        <v>112</v>
      </c>
      <c r="D5" s="60">
        <f>(C5-B5)/B5</f>
        <v>-0.05739774448745997</v>
      </c>
    </row>
    <row r="6" spans="1:4" ht="21" customHeight="1">
      <c r="A6" s="20" t="s">
        <v>417</v>
      </c>
      <c r="B6" s="23">
        <f>SUM(B7:B8)</f>
        <v>767.44</v>
      </c>
      <c r="C6" s="23">
        <f>SUM(C7:C8)</f>
        <v>737</v>
      </c>
      <c r="D6" s="60">
        <f>(C6-B6)/B6</f>
        <v>-0.03966433858021481</v>
      </c>
    </row>
    <row r="7" spans="1:4" ht="21" customHeight="1">
      <c r="A7" s="20" t="s">
        <v>418</v>
      </c>
      <c r="B7" s="23">
        <v>481.44</v>
      </c>
      <c r="C7" s="23">
        <v>462</v>
      </c>
      <c r="D7" s="60">
        <f>(C7-B7)/B7</f>
        <v>-0.040378863409770684</v>
      </c>
    </row>
    <row r="8" spans="1:4" ht="21" customHeight="1">
      <c r="A8" s="61" t="s">
        <v>419</v>
      </c>
      <c r="B8" s="23">
        <v>286</v>
      </c>
      <c r="C8" s="23">
        <v>275</v>
      </c>
      <c r="D8" s="60">
        <f>(C8-B8)/B8</f>
        <v>-0.038461538461538464</v>
      </c>
    </row>
    <row r="9" spans="1:4" ht="21" customHeight="1">
      <c r="A9" s="20"/>
      <c r="B9" s="23"/>
      <c r="C9" s="23"/>
      <c r="D9" s="60"/>
    </row>
    <row r="10" spans="1:4" ht="21" customHeight="1">
      <c r="A10" s="20"/>
      <c r="B10" s="23"/>
      <c r="C10" s="23"/>
      <c r="D10" s="60"/>
    </row>
    <row r="11" spans="1:4" ht="21" customHeight="1">
      <c r="A11" s="58" t="s">
        <v>420</v>
      </c>
      <c r="B11" s="44">
        <f>B4+B5+B6</f>
        <v>886.26</v>
      </c>
      <c r="C11" s="44">
        <f>C4+C5+C6</f>
        <v>849</v>
      </c>
      <c r="D11" s="62">
        <f>(C11-B11)/B11</f>
        <v>-0.04204183873806783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9.7109375" style="99" customWidth="1"/>
    <col min="2" max="2" width="16.00390625" style="99" customWidth="1"/>
    <col min="3" max="3" width="28.421875" style="99" bestFit="1" customWidth="1"/>
    <col min="4" max="4" width="16.421875" style="99" customWidth="1"/>
    <col min="5" max="16384" width="9.00390625" style="99" customWidth="1"/>
  </cols>
  <sheetData>
    <row r="1" spans="1:4" ht="41.25" customHeight="1">
      <c r="A1" s="120" t="s">
        <v>627</v>
      </c>
      <c r="B1" s="120"/>
      <c r="C1" s="120"/>
      <c r="D1" s="120"/>
    </row>
    <row r="2" spans="1:4" ht="18" customHeight="1">
      <c r="A2" s="100"/>
      <c r="B2" s="101"/>
      <c r="C2" s="101"/>
      <c r="D2" s="102" t="s">
        <v>595</v>
      </c>
    </row>
    <row r="3" spans="1:4" s="104" customFormat="1" ht="27" customHeight="1">
      <c r="A3" s="103" t="s">
        <v>596</v>
      </c>
      <c r="B3" s="103" t="s">
        <v>625</v>
      </c>
      <c r="C3" s="103" t="s">
        <v>596</v>
      </c>
      <c r="D3" s="103" t="s">
        <v>626</v>
      </c>
    </row>
    <row r="4" spans="1:4" ht="21.75" customHeight="1">
      <c r="A4" s="105" t="s">
        <v>395</v>
      </c>
      <c r="B4" s="106">
        <v>1300</v>
      </c>
      <c r="C4" s="105" t="s">
        <v>597</v>
      </c>
      <c r="D4" s="106">
        <v>2000</v>
      </c>
    </row>
    <row r="5" spans="1:4" ht="21.75" customHeight="1">
      <c r="A5" s="105" t="s">
        <v>598</v>
      </c>
      <c r="B5" s="106">
        <v>700</v>
      </c>
      <c r="C5" s="105" t="s">
        <v>599</v>
      </c>
      <c r="D5" s="106">
        <v>0</v>
      </c>
    </row>
    <row r="6" spans="1:4" ht="21.75" customHeight="1">
      <c r="A6" s="105" t="s">
        <v>600</v>
      </c>
      <c r="B6" s="106">
        <v>0</v>
      </c>
      <c r="C6" s="105" t="s">
        <v>601</v>
      </c>
      <c r="D6" s="106">
        <v>0</v>
      </c>
    </row>
    <row r="7" spans="1:4" ht="21.75" customHeight="1">
      <c r="A7" s="105" t="s">
        <v>602</v>
      </c>
      <c r="B7" s="106">
        <v>0</v>
      </c>
      <c r="C7" s="105"/>
      <c r="D7" s="107"/>
    </row>
    <row r="8" spans="1:4" ht="21.75" customHeight="1">
      <c r="A8" s="105" t="s">
        <v>603</v>
      </c>
      <c r="B8" s="106">
        <v>0</v>
      </c>
      <c r="C8" s="105"/>
      <c r="D8" s="107"/>
    </row>
    <row r="9" spans="1:4" ht="21.75" customHeight="1">
      <c r="A9" s="105" t="s">
        <v>604</v>
      </c>
      <c r="B9" s="106">
        <v>0</v>
      </c>
      <c r="C9" s="105" t="s">
        <v>605</v>
      </c>
      <c r="D9" s="106">
        <v>0</v>
      </c>
    </row>
    <row r="10" spans="1:4" ht="21.75" customHeight="1">
      <c r="A10" s="105" t="s">
        <v>606</v>
      </c>
      <c r="B10" s="106">
        <v>0</v>
      </c>
      <c r="C10" s="105"/>
      <c r="D10" s="107"/>
    </row>
    <row r="11" spans="1:4" ht="21.75" customHeight="1">
      <c r="A11" s="105" t="s">
        <v>607</v>
      </c>
      <c r="B11" s="106">
        <v>0</v>
      </c>
      <c r="C11" s="105"/>
      <c r="D11" s="107"/>
    </row>
    <row r="12" spans="1:4" ht="21.75" customHeight="1">
      <c r="A12" s="105" t="s">
        <v>608</v>
      </c>
      <c r="B12" s="106">
        <v>0</v>
      </c>
      <c r="C12" s="105"/>
      <c r="D12" s="107"/>
    </row>
    <row r="13" spans="1:4" ht="21.75" customHeight="1">
      <c r="A13" s="105" t="s">
        <v>609</v>
      </c>
      <c r="B13" s="106">
        <v>0</v>
      </c>
      <c r="C13" s="105" t="s">
        <v>610</v>
      </c>
      <c r="D13" s="106">
        <v>0</v>
      </c>
    </row>
    <row r="14" spans="1:4" ht="21.75" customHeight="1">
      <c r="A14" s="105" t="s">
        <v>611</v>
      </c>
      <c r="B14" s="106">
        <v>0</v>
      </c>
      <c r="C14" s="105" t="s">
        <v>612</v>
      </c>
      <c r="D14" s="106">
        <v>0</v>
      </c>
    </row>
    <row r="15" spans="1:4" ht="21.75" customHeight="1">
      <c r="A15" s="105" t="s">
        <v>613</v>
      </c>
      <c r="B15" s="106">
        <v>0</v>
      </c>
      <c r="C15" s="105"/>
      <c r="D15" s="107"/>
    </row>
    <row r="16" spans="1:4" ht="21.75" customHeight="1">
      <c r="A16" s="105" t="s">
        <v>543</v>
      </c>
      <c r="B16" s="106">
        <v>0</v>
      </c>
      <c r="C16" s="105" t="s">
        <v>614</v>
      </c>
      <c r="D16" s="106">
        <v>0</v>
      </c>
    </row>
    <row r="17" spans="1:4" ht="21.75" customHeight="1">
      <c r="A17" s="105" t="s">
        <v>615</v>
      </c>
      <c r="B17" s="106">
        <v>0</v>
      </c>
      <c r="C17" s="105"/>
      <c r="D17" s="107"/>
    </row>
    <row r="18" spans="1:4" ht="21.75" customHeight="1">
      <c r="A18" s="105" t="s">
        <v>616</v>
      </c>
      <c r="B18" s="106">
        <v>0</v>
      </c>
      <c r="C18" s="105" t="s">
        <v>617</v>
      </c>
      <c r="D18" s="106">
        <v>0</v>
      </c>
    </row>
    <row r="19" spans="1:4" ht="21.75" customHeight="1">
      <c r="A19" s="105" t="s">
        <v>618</v>
      </c>
      <c r="B19" s="106">
        <v>0</v>
      </c>
      <c r="C19" s="105" t="s">
        <v>619</v>
      </c>
      <c r="D19" s="106">
        <v>0</v>
      </c>
    </row>
    <row r="20" spans="1:4" ht="21.75" customHeight="1">
      <c r="A20" s="105"/>
      <c r="B20" s="107"/>
      <c r="C20" s="105" t="s">
        <v>620</v>
      </c>
      <c r="D20" s="106">
        <v>0</v>
      </c>
    </row>
    <row r="21" spans="1:4" ht="21.75" customHeight="1">
      <c r="A21" s="105"/>
      <c r="B21" s="107"/>
      <c r="C21" s="105" t="s">
        <v>621</v>
      </c>
      <c r="D21" s="106">
        <v>0</v>
      </c>
    </row>
    <row r="22" spans="1:4" ht="21.75" customHeight="1">
      <c r="A22" s="103" t="s">
        <v>622</v>
      </c>
      <c r="B22" s="106">
        <v>2000</v>
      </c>
      <c r="C22" s="103" t="s">
        <v>623</v>
      </c>
      <c r="D22" s="106">
        <v>2000</v>
      </c>
    </row>
    <row r="23" spans="1:4" ht="21.75" customHeight="1">
      <c r="A23" s="108"/>
      <c r="B23" s="109"/>
      <c r="C23" s="109"/>
      <c r="D23" s="110"/>
    </row>
    <row r="24" spans="1:4" ht="21.75" customHeight="1">
      <c r="A24" s="108"/>
      <c r="B24" s="109"/>
      <c r="C24" s="109"/>
      <c r="D24" s="110"/>
    </row>
    <row r="25" spans="1:4" ht="21.75" customHeight="1">
      <c r="A25" s="108"/>
      <c r="B25" s="109"/>
      <c r="C25" s="109"/>
      <c r="D25" s="110"/>
    </row>
    <row r="26" spans="1:4" ht="21.75" customHeight="1">
      <c r="A26" s="108"/>
      <c r="B26" s="109"/>
      <c r="C26" s="109"/>
      <c r="D26" s="110"/>
    </row>
    <row r="27" spans="1:4" ht="21.75" customHeight="1">
      <c r="A27" s="108"/>
      <c r="B27" s="109"/>
      <c r="C27" s="109"/>
      <c r="D27" s="110"/>
    </row>
    <row r="28" spans="1:4" ht="21.75" customHeight="1">
      <c r="A28" s="108"/>
      <c r="B28" s="109"/>
      <c r="C28" s="109"/>
      <c r="D28" s="110"/>
    </row>
    <row r="29" spans="1:4" ht="21.75" customHeight="1">
      <c r="A29" s="108"/>
      <c r="B29" s="109"/>
      <c r="C29" s="109"/>
      <c r="D29" s="110"/>
    </row>
    <row r="30" spans="1:4" ht="21.75" customHeight="1">
      <c r="A30" s="108"/>
      <c r="B30" s="109"/>
      <c r="C30" s="109"/>
      <c r="D30" s="110"/>
    </row>
    <row r="31" spans="1:4" ht="21.75" customHeight="1">
      <c r="A31" s="108"/>
      <c r="B31" s="109"/>
      <c r="C31" s="109"/>
      <c r="D31" s="110"/>
    </row>
    <row r="32" spans="1:4" ht="21.75" customHeight="1">
      <c r="A32" s="108"/>
      <c r="B32" s="109"/>
      <c r="C32" s="109"/>
      <c r="D32" s="110"/>
    </row>
    <row r="33" spans="1:4" ht="21.75" customHeight="1">
      <c r="A33" s="108"/>
      <c r="B33" s="109"/>
      <c r="C33" s="109"/>
      <c r="D33" s="110"/>
    </row>
    <row r="34" spans="1:4" ht="21.75" customHeight="1">
      <c r="A34" s="108"/>
      <c r="B34" s="109"/>
      <c r="C34" s="109"/>
      <c r="D34" s="110"/>
    </row>
    <row r="35" spans="1:4" s="114" customFormat="1" ht="21.75" customHeight="1">
      <c r="A35" s="111" t="s">
        <v>624</v>
      </c>
      <c r="B35" s="112">
        <f>B19+B18+B17+B16</f>
        <v>0</v>
      </c>
      <c r="C35" s="112" t="e">
        <f>C19+C18+C17+C16</f>
        <v>#VALUE!</v>
      </c>
      <c r="D35" s="113" t="e">
        <f>SUM(C35-B35)/B35</f>
        <v>#VALUE!</v>
      </c>
    </row>
  </sheetData>
  <sheetProtection/>
  <protectedRanges>
    <protectedRange sqref="B4:C34" name="区域1_1_2_1_1_1"/>
    <protectedRange sqref="B4:C34" name="区域1_1_2_2_1_1"/>
  </protectedRanges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18" sqref="G18"/>
    </sheetView>
  </sheetViews>
  <sheetFormatPr defaultColWidth="8.7109375" defaultRowHeight="15"/>
  <cols>
    <col min="1" max="16384" width="8.7109375" style="88" customWidth="1"/>
  </cols>
  <sheetData>
    <row r="1" spans="1:13" ht="21.75">
      <c r="A1" s="121" t="s">
        <v>578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1.75" customHeight="1" thickBot="1">
      <c r="A2" s="122" t="s">
        <v>579</v>
      </c>
      <c r="B2" s="122"/>
      <c r="C2" s="122"/>
      <c r="D2" s="122"/>
      <c r="E2" s="122"/>
      <c r="F2" s="89"/>
      <c r="G2" s="89"/>
      <c r="H2" s="89"/>
      <c r="K2" s="123" t="s">
        <v>580</v>
      </c>
      <c r="L2" s="123"/>
      <c r="M2" s="123"/>
    </row>
    <row r="3" spans="1:13" ht="14.25" thickBot="1">
      <c r="A3" s="124" t="s">
        <v>581</v>
      </c>
      <c r="B3" s="125" t="s">
        <v>582</v>
      </c>
      <c r="C3" s="125"/>
      <c r="D3" s="125"/>
      <c r="E3" s="125" t="s">
        <v>583</v>
      </c>
      <c r="F3" s="125"/>
      <c r="G3" s="125"/>
      <c r="H3" s="125" t="s">
        <v>584</v>
      </c>
      <c r="I3" s="125"/>
      <c r="J3" s="125"/>
      <c r="K3" s="126" t="s">
        <v>585</v>
      </c>
      <c r="L3" s="126"/>
      <c r="M3" s="126"/>
    </row>
    <row r="4" spans="1:13" ht="14.25" thickBot="1">
      <c r="A4" s="124"/>
      <c r="B4" s="90" t="s">
        <v>586</v>
      </c>
      <c r="C4" s="90" t="s">
        <v>587</v>
      </c>
      <c r="D4" s="90" t="s">
        <v>588</v>
      </c>
      <c r="E4" s="90" t="s">
        <v>586</v>
      </c>
      <c r="F4" s="90" t="s">
        <v>587</v>
      </c>
      <c r="G4" s="90" t="s">
        <v>589</v>
      </c>
      <c r="H4" s="90" t="s">
        <v>586</v>
      </c>
      <c r="I4" s="90" t="s">
        <v>587</v>
      </c>
      <c r="J4" s="90" t="s">
        <v>588</v>
      </c>
      <c r="K4" s="90" t="s">
        <v>586</v>
      </c>
      <c r="L4" s="90" t="s">
        <v>587</v>
      </c>
      <c r="M4" s="91" t="s">
        <v>588</v>
      </c>
    </row>
    <row r="5" spans="1:13" ht="22.5">
      <c r="A5" s="92" t="s">
        <v>590</v>
      </c>
      <c r="B5" s="93">
        <v>16.46</v>
      </c>
      <c r="C5" s="93">
        <v>16.46</v>
      </c>
      <c r="D5" s="93">
        <v>0</v>
      </c>
      <c r="E5" s="93">
        <v>10.78</v>
      </c>
      <c r="F5" s="93">
        <v>10.78</v>
      </c>
      <c r="G5" s="93">
        <v>0</v>
      </c>
      <c r="H5" s="93">
        <v>15.72</v>
      </c>
      <c r="I5" s="93">
        <v>15.72</v>
      </c>
      <c r="J5" s="93">
        <v>0</v>
      </c>
      <c r="K5" s="93">
        <v>0.74</v>
      </c>
      <c r="L5" s="93">
        <v>0.74</v>
      </c>
      <c r="M5" s="93">
        <v>0</v>
      </c>
    </row>
    <row r="6" spans="1:13" ht="13.5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13.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</sheetData>
  <sheetProtection/>
  <mergeCells count="8">
    <mergeCell ref="A1:M1"/>
    <mergeCell ref="A2:E2"/>
    <mergeCell ref="K2:M2"/>
    <mergeCell ref="A3:A4"/>
    <mergeCell ref="B3:D3"/>
    <mergeCell ref="E3:G3"/>
    <mergeCell ref="H3:J3"/>
    <mergeCell ref="K3:M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3" sqref="H13"/>
    </sheetView>
  </sheetViews>
  <sheetFormatPr defaultColWidth="10.00390625" defaultRowHeight="15"/>
  <cols>
    <col min="1" max="1" width="17.7109375" style="94" customWidth="1"/>
    <col min="2" max="8" width="9.7109375" style="94" customWidth="1"/>
    <col min="9" max="9" width="15.7109375" style="94" customWidth="1"/>
    <col min="10" max="10" width="13.7109375" style="94" customWidth="1"/>
    <col min="11" max="11" width="9.7109375" style="94" customWidth="1"/>
    <col min="12" max="16384" width="10.00390625" style="94" customWidth="1"/>
  </cols>
  <sheetData>
    <row r="1" spans="1:10" ht="21.75" customHeight="1">
      <c r="A1" s="127" t="s">
        <v>591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7" customHeight="1" thickBot="1">
      <c r="A2" s="95" t="s">
        <v>592</v>
      </c>
      <c r="B2" s="128"/>
      <c r="C2" s="128"/>
      <c r="D2" s="128"/>
      <c r="E2" s="96"/>
      <c r="F2" s="96"/>
      <c r="H2" s="129" t="s">
        <v>580</v>
      </c>
      <c r="I2" s="129"/>
      <c r="J2" s="129"/>
    </row>
    <row r="3" spans="1:10" ht="43.5" customHeight="1" thickBot="1">
      <c r="A3" s="124" t="s">
        <v>581</v>
      </c>
      <c r="B3" s="125" t="s">
        <v>582</v>
      </c>
      <c r="C3" s="125"/>
      <c r="D3" s="125" t="s">
        <v>583</v>
      </c>
      <c r="E3" s="125"/>
      <c r="F3" s="125" t="s">
        <v>584</v>
      </c>
      <c r="G3" s="125"/>
      <c r="H3" s="126" t="s">
        <v>585</v>
      </c>
      <c r="I3" s="126"/>
      <c r="J3" s="126"/>
    </row>
    <row r="4" spans="1:10" ht="37.5" customHeight="1" thickBot="1">
      <c r="A4" s="124"/>
      <c r="B4" s="90" t="s">
        <v>586</v>
      </c>
      <c r="C4" s="90" t="s">
        <v>588</v>
      </c>
      <c r="D4" s="90" t="s">
        <v>586</v>
      </c>
      <c r="E4" s="90" t="s">
        <v>589</v>
      </c>
      <c r="F4" s="90" t="s">
        <v>586</v>
      </c>
      <c r="G4" s="90" t="s">
        <v>588</v>
      </c>
      <c r="H4" s="90" t="s">
        <v>586</v>
      </c>
      <c r="I4" s="91" t="s">
        <v>593</v>
      </c>
      <c r="J4" s="91" t="s">
        <v>594</v>
      </c>
    </row>
    <row r="5" spans="1:10" ht="22.5" customHeight="1">
      <c r="A5" s="97" t="s">
        <v>590</v>
      </c>
      <c r="B5" s="98">
        <v>0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</row>
    <row r="6" spans="1:10" ht="22.5" customHeight="1">
      <c r="A6" s="97"/>
      <c r="B6" s="98"/>
      <c r="C6" s="98"/>
      <c r="D6" s="98"/>
      <c r="E6" s="98"/>
      <c r="F6" s="98"/>
      <c r="G6" s="98"/>
      <c r="H6" s="98"/>
      <c r="I6" s="98"/>
      <c r="J6" s="98"/>
    </row>
    <row r="7" spans="1:10" ht="22.5" customHeight="1">
      <c r="A7" s="97"/>
      <c r="B7" s="98"/>
      <c r="C7" s="98"/>
      <c r="D7" s="98"/>
      <c r="E7" s="98"/>
      <c r="F7" s="98"/>
      <c r="G7" s="98"/>
      <c r="H7" s="98"/>
      <c r="I7" s="98"/>
      <c r="J7" s="98"/>
    </row>
  </sheetData>
  <sheetProtection/>
  <mergeCells count="8">
    <mergeCell ref="A1:J1"/>
    <mergeCell ref="B2:D2"/>
    <mergeCell ref="H2:J2"/>
    <mergeCell ref="A3:A4"/>
    <mergeCell ref="B3:C3"/>
    <mergeCell ref="D3:E3"/>
    <mergeCell ref="F3:G3"/>
    <mergeCell ref="H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41.28125" style="0" customWidth="1"/>
    <col min="2" max="2" width="11.8515625" style="0" hidden="1" customWidth="1"/>
    <col min="3" max="5" width="15.57421875" style="0" customWidth="1"/>
    <col min="6" max="6" width="9.421875" style="0" bestFit="1" customWidth="1"/>
  </cols>
  <sheetData>
    <row r="1" spans="1:5" ht="39.75" customHeight="1">
      <c r="A1" s="115" t="s">
        <v>553</v>
      </c>
      <c r="B1" s="115"/>
      <c r="C1" s="115"/>
      <c r="D1" s="115"/>
      <c r="E1" s="115"/>
    </row>
    <row r="2" ht="27" customHeight="1">
      <c r="E2" s="17" t="s">
        <v>308</v>
      </c>
    </row>
    <row r="3" spans="1:5" s="3" customFormat="1" ht="27">
      <c r="A3" s="4" t="s">
        <v>307</v>
      </c>
      <c r="B3" s="4" t="s">
        <v>309</v>
      </c>
      <c r="C3" s="53" t="s">
        <v>554</v>
      </c>
      <c r="D3" s="53" t="s">
        <v>555</v>
      </c>
      <c r="E3" s="4" t="s">
        <v>348</v>
      </c>
    </row>
    <row r="4" spans="1:6" ht="13.5">
      <c r="A4" s="7" t="s">
        <v>339</v>
      </c>
      <c r="B4" s="8">
        <f aca="true" t="shared" si="0" ref="B4:D8">B9+B14+B19+B24+B29+B34+B39+B44</f>
        <v>20684.97</v>
      </c>
      <c r="C4" s="8">
        <f t="shared" si="0"/>
        <v>65384.229999999996</v>
      </c>
      <c r="D4" s="8">
        <f t="shared" si="0"/>
        <v>70394.4</v>
      </c>
      <c r="E4" s="13">
        <f>D4/C4</f>
        <v>1.0766265810578484</v>
      </c>
      <c r="F4" s="46"/>
    </row>
    <row r="5" spans="1:5" ht="13.5">
      <c r="A5" s="5" t="s">
        <v>340</v>
      </c>
      <c r="B5" s="6">
        <f t="shared" si="0"/>
        <v>12734</v>
      </c>
      <c r="C5" s="6">
        <v>19312.790000000005</v>
      </c>
      <c r="D5" s="6">
        <f>D10+D15+D20+D25+D30+D35+D40+D45</f>
        <v>53972.82</v>
      </c>
      <c r="E5" s="11">
        <f aca="true" t="shared" si="1" ref="E5:E47">D5/C5</f>
        <v>2.7946671609850253</v>
      </c>
    </row>
    <row r="6" spans="1:5" ht="13.5">
      <c r="A6" s="5" t="s">
        <v>341</v>
      </c>
      <c r="B6" s="6">
        <f t="shared" si="0"/>
        <v>273.8</v>
      </c>
      <c r="C6" s="6">
        <v>342.3</v>
      </c>
      <c r="D6" s="6">
        <f>D11+D16+D21+D26+D31+D36+D41+D46</f>
        <v>190.95</v>
      </c>
      <c r="E6" s="11">
        <f t="shared" si="1"/>
        <v>0.5578439964943032</v>
      </c>
    </row>
    <row r="7" spans="1:5" ht="13.5">
      <c r="A7" s="5" t="s">
        <v>342</v>
      </c>
      <c r="B7" s="6">
        <f t="shared" si="0"/>
        <v>7350</v>
      </c>
      <c r="C7" s="6">
        <v>10497</v>
      </c>
      <c r="D7" s="6">
        <f>D12+D17+D22+D27+D32+D37+D42+D47</f>
        <v>16230.630000000001</v>
      </c>
      <c r="E7" s="11">
        <f t="shared" si="1"/>
        <v>1.5462160617319236</v>
      </c>
    </row>
    <row r="8" spans="1:5" ht="13.5">
      <c r="A8" s="5" t="s">
        <v>343</v>
      </c>
      <c r="B8" s="6">
        <f t="shared" si="0"/>
        <v>327.17</v>
      </c>
      <c r="C8" s="6">
        <v>0</v>
      </c>
      <c r="D8" s="6">
        <f>D13+D18+D23+D28+D33+D38+D43+D48</f>
        <v>0</v>
      </c>
      <c r="E8" s="11" t="e">
        <f t="shared" si="1"/>
        <v>#DIV/0!</v>
      </c>
    </row>
    <row r="9" spans="1:5" ht="13.5">
      <c r="A9" s="7" t="s">
        <v>349</v>
      </c>
      <c r="B9" s="8">
        <f>SUM(B10:B13)</f>
        <v>4990</v>
      </c>
      <c r="C9" s="8">
        <f>SUM(C10:C13)</f>
        <v>5900</v>
      </c>
      <c r="D9" s="8">
        <f>SUM(D10:D13)</f>
        <v>7197.91</v>
      </c>
      <c r="E9" s="13">
        <f t="shared" si="1"/>
        <v>1.2199847457627118</v>
      </c>
    </row>
    <row r="10" spans="1:5" ht="13.5">
      <c r="A10" s="5" t="s">
        <v>340</v>
      </c>
      <c r="B10" s="6">
        <v>4560</v>
      </c>
      <c r="C10" s="6">
        <v>5700</v>
      </c>
      <c r="D10" s="43">
        <v>7194.54</v>
      </c>
      <c r="E10" s="11">
        <f t="shared" si="1"/>
        <v>1.2622</v>
      </c>
    </row>
    <row r="11" spans="1:5" ht="13.5">
      <c r="A11" s="5" t="s">
        <v>341</v>
      </c>
      <c r="B11" s="6">
        <v>104</v>
      </c>
      <c r="C11" s="6">
        <v>200</v>
      </c>
      <c r="D11" s="43">
        <v>3.37</v>
      </c>
      <c r="E11" s="11">
        <f t="shared" si="1"/>
        <v>0.01685</v>
      </c>
    </row>
    <row r="12" spans="1:5" ht="13.5">
      <c r="A12" s="5" t="s">
        <v>342</v>
      </c>
      <c r="B12" s="6">
        <v>0</v>
      </c>
      <c r="C12" s="6"/>
      <c r="D12" s="6"/>
      <c r="E12" s="11"/>
    </row>
    <row r="13" spans="1:5" ht="13.5">
      <c r="A13" s="5" t="s">
        <v>343</v>
      </c>
      <c r="B13" s="6">
        <v>326</v>
      </c>
      <c r="C13" s="6"/>
      <c r="D13" s="6"/>
      <c r="E13" s="11" t="e">
        <f t="shared" si="1"/>
        <v>#DIV/0!</v>
      </c>
    </row>
    <row r="14" spans="1:5" ht="13.5">
      <c r="A14" s="7" t="s">
        <v>344</v>
      </c>
      <c r="B14" s="8">
        <f>SUM(B15:B18)</f>
        <v>1021.1</v>
      </c>
      <c r="C14" s="8">
        <f>SUM(C15:C18)</f>
        <v>955</v>
      </c>
      <c r="D14" s="8">
        <f>SUM(D15:D18)</f>
        <v>618.0400000000001</v>
      </c>
      <c r="E14" s="13">
        <f t="shared" si="1"/>
        <v>0.6471623036649216</v>
      </c>
    </row>
    <row r="15" spans="1:5" ht="13.5">
      <c r="A15" s="5" t="s">
        <v>340</v>
      </c>
      <c r="B15" s="6">
        <v>1010</v>
      </c>
      <c r="C15" s="6">
        <v>950</v>
      </c>
      <c r="D15" s="6">
        <v>605.32</v>
      </c>
      <c r="E15" s="11">
        <f t="shared" si="1"/>
        <v>0.6371789473684211</v>
      </c>
    </row>
    <row r="16" spans="1:5" ht="13.5">
      <c r="A16" s="5" t="s">
        <v>341</v>
      </c>
      <c r="B16" s="6">
        <v>11</v>
      </c>
      <c r="C16" s="6">
        <v>5</v>
      </c>
      <c r="D16" s="6">
        <v>12.72</v>
      </c>
      <c r="E16" s="11">
        <f t="shared" si="1"/>
        <v>2.544</v>
      </c>
    </row>
    <row r="17" spans="1:5" ht="13.5">
      <c r="A17" s="5" t="s">
        <v>342</v>
      </c>
      <c r="B17" s="6">
        <v>0</v>
      </c>
      <c r="C17" s="6"/>
      <c r="D17" s="6"/>
      <c r="E17" s="11"/>
    </row>
    <row r="18" spans="1:5" ht="13.5">
      <c r="A18" s="5" t="s">
        <v>343</v>
      </c>
      <c r="B18" s="6">
        <v>0.1</v>
      </c>
      <c r="C18" s="6"/>
      <c r="D18" s="6"/>
      <c r="E18" s="11" t="e">
        <f t="shared" si="1"/>
        <v>#DIV/0!</v>
      </c>
    </row>
    <row r="19" spans="1:5" ht="13.5">
      <c r="A19" s="7" t="s">
        <v>350</v>
      </c>
      <c r="B19" s="8">
        <f>SUM(B20:B23)</f>
        <v>5352</v>
      </c>
      <c r="C19" s="8">
        <f>SUM(C20:C23)</f>
        <v>9531</v>
      </c>
      <c r="D19" s="8">
        <f>SUM(D20:D23)</f>
        <v>10227.39</v>
      </c>
      <c r="E19" s="13">
        <f t="shared" si="1"/>
        <v>1.0730657853320742</v>
      </c>
    </row>
    <row r="20" spans="1:5" ht="13.5">
      <c r="A20" s="5" t="s">
        <v>340</v>
      </c>
      <c r="B20" s="6">
        <v>5326</v>
      </c>
      <c r="C20" s="6">
        <v>9386</v>
      </c>
      <c r="D20" s="6">
        <v>10169.01</v>
      </c>
      <c r="E20" s="11">
        <f t="shared" si="1"/>
        <v>1.0834231834647348</v>
      </c>
    </row>
    <row r="21" spans="1:5" ht="13.5">
      <c r="A21" s="5" t="s">
        <v>341</v>
      </c>
      <c r="B21" s="6">
        <v>25</v>
      </c>
      <c r="C21" s="6">
        <v>145</v>
      </c>
      <c r="D21" s="6">
        <v>58.38</v>
      </c>
      <c r="E21" s="11">
        <f t="shared" si="1"/>
        <v>0.40262068965517245</v>
      </c>
    </row>
    <row r="22" spans="1:5" ht="13.5">
      <c r="A22" s="5" t="s">
        <v>342</v>
      </c>
      <c r="B22" s="6">
        <v>0</v>
      </c>
      <c r="C22" s="6"/>
      <c r="D22" s="6"/>
      <c r="E22" s="11"/>
    </row>
    <row r="23" spans="1:5" ht="13.5">
      <c r="A23" s="5" t="s">
        <v>343</v>
      </c>
      <c r="B23" s="6">
        <v>1</v>
      </c>
      <c r="C23" s="6"/>
      <c r="D23" s="6"/>
      <c r="E23" s="11" t="e">
        <f t="shared" si="1"/>
        <v>#DIV/0!</v>
      </c>
    </row>
    <row r="24" spans="1:5" ht="13.5">
      <c r="A24" s="7" t="s">
        <v>345</v>
      </c>
      <c r="B24" s="8">
        <f>SUM(B25:B28)</f>
        <v>438.03</v>
      </c>
      <c r="C24" s="8">
        <f>SUM(C25:C28)</f>
        <v>555.5</v>
      </c>
      <c r="D24" s="8">
        <f>SUM(D25:D28)</f>
        <v>870.63</v>
      </c>
      <c r="E24" s="13">
        <f t="shared" si="1"/>
        <v>1.5672907290729072</v>
      </c>
    </row>
    <row r="25" spans="1:5" ht="13.5">
      <c r="A25" s="5" t="s">
        <v>340</v>
      </c>
      <c r="B25" s="6">
        <v>430</v>
      </c>
      <c r="C25" s="6">
        <v>550</v>
      </c>
      <c r="D25" s="6">
        <v>870.16</v>
      </c>
      <c r="E25" s="11">
        <f t="shared" si="1"/>
        <v>1.582109090909091</v>
      </c>
    </row>
    <row r="26" spans="1:5" ht="13.5">
      <c r="A26" s="5" t="s">
        <v>341</v>
      </c>
      <c r="B26" s="6">
        <v>8</v>
      </c>
      <c r="C26" s="6">
        <v>5.5</v>
      </c>
      <c r="D26" s="6">
        <v>0.47</v>
      </c>
      <c r="E26" s="11">
        <f t="shared" si="1"/>
        <v>0.08545454545454545</v>
      </c>
    </row>
    <row r="27" spans="1:5" ht="13.5">
      <c r="A27" s="5" t="s">
        <v>342</v>
      </c>
      <c r="B27" s="6">
        <v>0</v>
      </c>
      <c r="C27" s="6"/>
      <c r="D27" s="6"/>
      <c r="E27" s="11"/>
    </row>
    <row r="28" spans="1:5" ht="13.5">
      <c r="A28" s="5" t="s">
        <v>343</v>
      </c>
      <c r="B28" s="6">
        <v>0.03</v>
      </c>
      <c r="C28" s="6"/>
      <c r="D28" s="6"/>
      <c r="E28" s="11"/>
    </row>
    <row r="29" spans="1:5" ht="13.5">
      <c r="A29" s="7" t="s">
        <v>351</v>
      </c>
      <c r="B29" s="8">
        <f>SUM(B30:B33)</f>
        <v>221.04</v>
      </c>
      <c r="C29" s="8">
        <f>SUM(C30:C33)</f>
        <v>297.6</v>
      </c>
      <c r="D29" s="8">
        <f>SUM(D30:D33)</f>
        <v>529.52</v>
      </c>
      <c r="E29" s="13">
        <f t="shared" si="1"/>
        <v>1.779301075268817</v>
      </c>
    </row>
    <row r="30" spans="1:5" ht="13.5">
      <c r="A30" s="5" t="s">
        <v>340</v>
      </c>
      <c r="B30" s="6">
        <v>213</v>
      </c>
      <c r="C30" s="6">
        <v>296</v>
      </c>
      <c r="D30" s="6">
        <v>529.04</v>
      </c>
      <c r="E30" s="11">
        <f t="shared" si="1"/>
        <v>1.7872972972972971</v>
      </c>
    </row>
    <row r="31" spans="1:5" ht="13.5">
      <c r="A31" s="5" t="s">
        <v>341</v>
      </c>
      <c r="B31" s="6">
        <v>8</v>
      </c>
      <c r="C31" s="6">
        <v>1.6</v>
      </c>
      <c r="D31" s="6">
        <v>0.48</v>
      </c>
      <c r="E31" s="11">
        <f t="shared" si="1"/>
        <v>0.3</v>
      </c>
    </row>
    <row r="32" spans="1:5" ht="13.5">
      <c r="A32" s="5" t="s">
        <v>342</v>
      </c>
      <c r="B32" s="6">
        <v>0</v>
      </c>
      <c r="C32" s="6"/>
      <c r="D32" s="6"/>
      <c r="E32" s="11"/>
    </row>
    <row r="33" spans="1:5" ht="13.5">
      <c r="A33" s="5" t="s">
        <v>343</v>
      </c>
      <c r="B33" s="6">
        <v>0.04</v>
      </c>
      <c r="C33" s="6"/>
      <c r="D33" s="6"/>
      <c r="E33" s="11" t="e">
        <f t="shared" si="1"/>
        <v>#DIV/0!</v>
      </c>
    </row>
    <row r="34" spans="1:5" ht="13.5">
      <c r="A34" s="7" t="s">
        <v>346</v>
      </c>
      <c r="B34" s="8">
        <f>SUM(B35:B38)</f>
        <v>1673</v>
      </c>
      <c r="C34" s="8">
        <f>SUM(C35:C38)</f>
        <v>2790.4</v>
      </c>
      <c r="D34" s="8">
        <f>SUM(D35:D38)</f>
        <v>3218.88</v>
      </c>
      <c r="E34" s="13">
        <f t="shared" si="1"/>
        <v>1.1535550458715595</v>
      </c>
    </row>
    <row r="35" spans="1:5" ht="13.5">
      <c r="A35" s="5" t="s">
        <v>340</v>
      </c>
      <c r="B35" s="6">
        <v>635</v>
      </c>
      <c r="C35" s="6">
        <v>638</v>
      </c>
      <c r="D35" s="6">
        <v>782.69</v>
      </c>
      <c r="E35" s="11">
        <f t="shared" si="1"/>
        <v>1.2267868338557995</v>
      </c>
    </row>
    <row r="36" spans="1:5" ht="13.5">
      <c r="A36" s="5" t="s">
        <v>341</v>
      </c>
      <c r="B36" s="6">
        <v>78</v>
      </c>
      <c r="C36" s="6">
        <v>2.4</v>
      </c>
      <c r="D36" s="6">
        <v>23.65</v>
      </c>
      <c r="E36" s="11">
        <f t="shared" si="1"/>
        <v>9.854166666666666</v>
      </c>
    </row>
    <row r="37" spans="1:5" ht="13.5">
      <c r="A37" s="5" t="s">
        <v>342</v>
      </c>
      <c r="B37" s="6">
        <v>960</v>
      </c>
      <c r="C37" s="6">
        <v>2150</v>
      </c>
      <c r="D37" s="6">
        <v>2412.54</v>
      </c>
      <c r="E37" s="11">
        <f t="shared" si="1"/>
        <v>1.1221116279069767</v>
      </c>
    </row>
    <row r="38" spans="1:5" ht="13.5">
      <c r="A38" s="5" t="s">
        <v>343</v>
      </c>
      <c r="B38" s="6">
        <v>0</v>
      </c>
      <c r="C38" s="6"/>
      <c r="D38" s="6"/>
      <c r="E38" s="11"/>
    </row>
    <row r="39" spans="1:5" ht="13.5">
      <c r="A39" s="86" t="s">
        <v>568</v>
      </c>
      <c r="B39" s="8">
        <f>SUM(B40:B43)</f>
        <v>84.8</v>
      </c>
      <c r="C39" s="8">
        <f>SUM(C40:C43)</f>
        <v>18938.17</v>
      </c>
      <c r="D39" s="8">
        <f>SUM(D40:D43)</f>
        <v>19329.79</v>
      </c>
      <c r="E39" s="13">
        <f t="shared" si="1"/>
        <v>1.020678872351447</v>
      </c>
    </row>
    <row r="40" spans="1:5" ht="13.5">
      <c r="A40" s="5" t="s">
        <v>340</v>
      </c>
      <c r="B40" s="6">
        <v>50</v>
      </c>
      <c r="C40" s="6">
        <v>9657</v>
      </c>
      <c r="D40" s="6">
        <v>9845.17</v>
      </c>
      <c r="E40" s="11">
        <f t="shared" si="1"/>
        <v>1.0194853474163819</v>
      </c>
    </row>
    <row r="41" spans="1:5" ht="13.5">
      <c r="A41" s="5" t="s">
        <v>341</v>
      </c>
      <c r="B41" s="6">
        <v>4.8</v>
      </c>
      <c r="C41" s="6">
        <v>5.17</v>
      </c>
      <c r="D41" s="6">
        <v>6.53</v>
      </c>
      <c r="E41" s="11">
        <f t="shared" si="1"/>
        <v>1.263056092843327</v>
      </c>
    </row>
    <row r="42" spans="1:5" ht="13.5">
      <c r="A42" s="5" t="s">
        <v>342</v>
      </c>
      <c r="B42" s="6">
        <v>30</v>
      </c>
      <c r="C42" s="6">
        <v>9276</v>
      </c>
      <c r="D42" s="6">
        <v>9478.09</v>
      </c>
      <c r="E42" s="11">
        <f t="shared" si="1"/>
        <v>1.021786330314791</v>
      </c>
    </row>
    <row r="43" spans="1:5" ht="13.5">
      <c r="A43" s="5" t="s">
        <v>343</v>
      </c>
      <c r="B43" s="6"/>
      <c r="C43" s="6"/>
      <c r="D43" s="6"/>
      <c r="E43" s="11"/>
    </row>
    <row r="44" spans="1:5" ht="13.5">
      <c r="A44" s="7" t="s">
        <v>567</v>
      </c>
      <c r="B44" s="8">
        <f>SUM(B45:B48)</f>
        <v>6905</v>
      </c>
      <c r="C44" s="8">
        <f>SUM(C45:C48)</f>
        <v>26416.56</v>
      </c>
      <c r="D44" s="8">
        <f>SUM(D45:D48)</f>
        <v>28402.239999999998</v>
      </c>
      <c r="E44" s="13">
        <f t="shared" si="1"/>
        <v>1.0751680006783622</v>
      </c>
    </row>
    <row r="45" spans="1:5" ht="13.5">
      <c r="A45" s="5" t="s">
        <v>340</v>
      </c>
      <c r="B45" s="6">
        <v>510</v>
      </c>
      <c r="C45" s="6">
        <v>22179</v>
      </c>
      <c r="D45" s="6">
        <v>23976.89</v>
      </c>
      <c r="E45" s="11">
        <f t="shared" si="1"/>
        <v>1.0810627169845348</v>
      </c>
    </row>
    <row r="46" spans="1:5" ht="13.5">
      <c r="A46" s="5" t="s">
        <v>341</v>
      </c>
      <c r="B46" s="6">
        <v>35</v>
      </c>
      <c r="C46" s="6">
        <v>79.56</v>
      </c>
      <c r="D46" s="6">
        <v>85.35</v>
      </c>
      <c r="E46" s="11">
        <f t="shared" si="1"/>
        <v>1.0727752639517345</v>
      </c>
    </row>
    <row r="47" spans="1:5" ht="13.5">
      <c r="A47" s="5" t="s">
        <v>342</v>
      </c>
      <c r="B47" s="6">
        <v>6360</v>
      </c>
      <c r="C47" s="6">
        <v>4158</v>
      </c>
      <c r="D47" s="6">
        <v>4340</v>
      </c>
      <c r="E47" s="11">
        <f t="shared" si="1"/>
        <v>1.0437710437710437</v>
      </c>
    </row>
    <row r="48" spans="1:5" ht="13.5">
      <c r="A48" s="5" t="s">
        <v>343</v>
      </c>
      <c r="B48" s="5"/>
      <c r="C48" s="5"/>
      <c r="D48" s="5"/>
      <c r="E48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1.28125" style="0" customWidth="1"/>
    <col min="2" max="2" width="12.8515625" style="0" hidden="1" customWidth="1"/>
    <col min="3" max="5" width="15.57421875" style="0" customWidth="1"/>
    <col min="6" max="6" width="9.421875" style="0" bestFit="1" customWidth="1"/>
  </cols>
  <sheetData>
    <row r="1" spans="1:5" ht="39.75" customHeight="1">
      <c r="A1" s="115" t="s">
        <v>556</v>
      </c>
      <c r="B1" s="130"/>
      <c r="C1" s="130"/>
      <c r="D1" s="130"/>
      <c r="E1" s="130"/>
    </row>
    <row r="2" ht="27" customHeight="1">
      <c r="E2" s="17" t="s">
        <v>308</v>
      </c>
    </row>
    <row r="3" spans="1:5" s="3" customFormat="1" ht="27">
      <c r="A3" s="4" t="s">
        <v>307</v>
      </c>
      <c r="B3" s="4" t="s">
        <v>309</v>
      </c>
      <c r="C3" s="53" t="s">
        <v>554</v>
      </c>
      <c r="D3" s="53" t="s">
        <v>555</v>
      </c>
      <c r="E3" s="4" t="s">
        <v>466</v>
      </c>
    </row>
    <row r="4" spans="1:6" ht="20.25" customHeight="1">
      <c r="A4" s="7" t="s">
        <v>357</v>
      </c>
      <c r="B4" s="8">
        <f>B7+B10+B14+B18+B22+B26+B29+B33</f>
        <v>19656.96</v>
      </c>
      <c r="C4" s="8">
        <f>C7+C10+C14+C18+C22+C26+C29+C33</f>
        <v>61967</v>
      </c>
      <c r="D4" s="8">
        <f>D7+D10+D14+D18+D22+D26+D29+D33</f>
        <v>65386.369999999995</v>
      </c>
      <c r="E4" s="13">
        <f>D4/C4</f>
        <v>1.0551804992980134</v>
      </c>
      <c r="F4" s="46"/>
    </row>
    <row r="5" spans="1:5" ht="20.25" customHeight="1">
      <c r="A5" s="5" t="s">
        <v>313</v>
      </c>
      <c r="B5" s="6">
        <f>B8+B11+B15+B19+B23+B27+B30+B34</f>
        <v>14557.2</v>
      </c>
      <c r="C5" s="6">
        <v>25806.579999999998</v>
      </c>
      <c r="D5" s="6"/>
      <c r="E5" s="11">
        <f aca="true" t="shared" si="0" ref="E5:E35">D5/C5</f>
        <v>0</v>
      </c>
    </row>
    <row r="6" spans="1:5" ht="20.25" customHeight="1">
      <c r="A6" s="5" t="s">
        <v>312</v>
      </c>
      <c r="B6" s="6">
        <f>B9+B13+B17+B21+B25+B28+B32+B35</f>
        <v>481.1</v>
      </c>
      <c r="C6" s="6"/>
      <c r="D6" s="6"/>
      <c r="E6" s="11" t="e">
        <f t="shared" si="0"/>
        <v>#DIV/0!</v>
      </c>
    </row>
    <row r="7" spans="1:6" ht="20.25" customHeight="1">
      <c r="A7" s="7" t="s">
        <v>352</v>
      </c>
      <c r="B7" s="8">
        <f>SUM(B8:B9)</f>
        <v>4555</v>
      </c>
      <c r="C7" s="8">
        <f>SUM(C8:C9)</f>
        <v>6120</v>
      </c>
      <c r="D7" s="8">
        <f>SUM(D8:D9)</f>
        <v>7190.9</v>
      </c>
      <c r="E7" s="13">
        <f t="shared" si="0"/>
        <v>1.1749836601307189</v>
      </c>
      <c r="F7" s="46"/>
    </row>
    <row r="8" spans="1:5" ht="20.25" customHeight="1">
      <c r="A8" s="5" t="s">
        <v>311</v>
      </c>
      <c r="B8" s="6">
        <v>4320</v>
      </c>
      <c r="C8" s="6">
        <v>6120</v>
      </c>
      <c r="D8" s="6">
        <v>7190.9</v>
      </c>
      <c r="E8" s="11">
        <f t="shared" si="0"/>
        <v>1.1749836601307189</v>
      </c>
    </row>
    <row r="9" spans="1:5" ht="20.25" customHeight="1">
      <c r="A9" s="5" t="s">
        <v>312</v>
      </c>
      <c r="B9" s="6">
        <v>235</v>
      </c>
      <c r="C9" s="6"/>
      <c r="D9" s="6"/>
      <c r="E9" s="11" t="e">
        <f t="shared" si="0"/>
        <v>#DIV/0!</v>
      </c>
    </row>
    <row r="10" spans="1:6" ht="20.25" customHeight="1">
      <c r="A10" s="7" t="s">
        <v>314</v>
      </c>
      <c r="B10" s="8">
        <f>SUM(B11:B13)</f>
        <v>817.2</v>
      </c>
      <c r="C10" s="8">
        <f>SUM(C11:C13)</f>
        <v>950</v>
      </c>
      <c r="D10" s="8">
        <f>SUM(D11:D13)</f>
        <v>523.37</v>
      </c>
      <c r="E10" s="13">
        <f t="shared" si="0"/>
        <v>0.5509157894736842</v>
      </c>
      <c r="F10" s="46"/>
    </row>
    <row r="11" spans="1:5" ht="20.25" customHeight="1">
      <c r="A11" s="5" t="s">
        <v>317</v>
      </c>
      <c r="B11" s="6">
        <v>4.2</v>
      </c>
      <c r="C11" s="6"/>
      <c r="D11" s="6">
        <v>23.37</v>
      </c>
      <c r="E11" s="11" t="e">
        <f t="shared" si="0"/>
        <v>#DIV/0!</v>
      </c>
    </row>
    <row r="12" spans="1:5" ht="20.25" customHeight="1">
      <c r="A12" s="41" t="s">
        <v>410</v>
      </c>
      <c r="B12" s="6">
        <v>812</v>
      </c>
      <c r="C12" s="6">
        <v>950</v>
      </c>
      <c r="D12" s="6">
        <v>500</v>
      </c>
      <c r="E12" s="11">
        <f t="shared" si="0"/>
        <v>0.5263157894736842</v>
      </c>
    </row>
    <row r="13" spans="1:5" ht="20.25" customHeight="1">
      <c r="A13" s="5" t="s">
        <v>312</v>
      </c>
      <c r="B13" s="6">
        <v>1</v>
      </c>
      <c r="C13" s="6"/>
      <c r="D13" s="6"/>
      <c r="E13" s="11" t="e">
        <f t="shared" si="0"/>
        <v>#DIV/0!</v>
      </c>
    </row>
    <row r="14" spans="1:5" ht="20.25" customHeight="1">
      <c r="A14" s="7" t="s">
        <v>353</v>
      </c>
      <c r="B14" s="8">
        <f>SUM(B15:B17)</f>
        <v>5833.66</v>
      </c>
      <c r="C14" s="8">
        <f>SUM(C15:C17)</f>
        <v>9112</v>
      </c>
      <c r="D14" s="8">
        <f>SUM(D15:D17)</f>
        <v>9121.869999999999</v>
      </c>
      <c r="E14" s="13">
        <f t="shared" si="0"/>
        <v>1.0010831870061456</v>
      </c>
    </row>
    <row r="15" spans="1:5" ht="20.25" customHeight="1">
      <c r="A15" s="5" t="s">
        <v>319</v>
      </c>
      <c r="B15" s="6">
        <v>2618</v>
      </c>
      <c r="C15" s="6">
        <v>2826</v>
      </c>
      <c r="D15" s="6">
        <v>3414.05</v>
      </c>
      <c r="E15" s="11">
        <f t="shared" si="0"/>
        <v>1.2080856334041048</v>
      </c>
    </row>
    <row r="16" spans="1:5" ht="20.25" customHeight="1">
      <c r="A16" s="40" t="s">
        <v>412</v>
      </c>
      <c r="B16" s="6">
        <v>3215.66</v>
      </c>
      <c r="C16" s="6">
        <v>6286</v>
      </c>
      <c r="D16" s="6">
        <v>5707.82</v>
      </c>
      <c r="E16" s="11">
        <f t="shared" si="0"/>
        <v>0.9080209990454979</v>
      </c>
    </row>
    <row r="17" spans="1:5" ht="20.25" customHeight="1">
      <c r="A17" s="5" t="s">
        <v>312</v>
      </c>
      <c r="B17" s="6"/>
      <c r="C17" s="6"/>
      <c r="D17" s="6"/>
      <c r="E17" s="11"/>
    </row>
    <row r="18" spans="1:5" ht="20.25" customHeight="1">
      <c r="A18" s="7" t="s">
        <v>354</v>
      </c>
      <c r="B18" s="8">
        <f>SUM(B19:B21)</f>
        <v>602.1</v>
      </c>
      <c r="C18" s="8">
        <f>SUM(C19:C21)</f>
        <v>550</v>
      </c>
      <c r="D18" s="8">
        <f>SUM(D19:D21)</f>
        <v>870.63</v>
      </c>
      <c r="E18" s="13">
        <f t="shared" si="0"/>
        <v>1.5829636363636364</v>
      </c>
    </row>
    <row r="19" spans="1:5" ht="20.25" customHeight="1">
      <c r="A19" s="5" t="s">
        <v>318</v>
      </c>
      <c r="B19" s="6">
        <v>206</v>
      </c>
      <c r="C19" s="6"/>
      <c r="D19" s="6">
        <v>375.81</v>
      </c>
      <c r="E19" s="11" t="e">
        <f t="shared" si="0"/>
        <v>#DIV/0!</v>
      </c>
    </row>
    <row r="20" spans="1:5" ht="20.25" customHeight="1">
      <c r="A20" s="40" t="s">
        <v>414</v>
      </c>
      <c r="B20" s="6">
        <v>396</v>
      </c>
      <c r="C20" s="6">
        <v>550</v>
      </c>
      <c r="D20" s="6">
        <v>494.82</v>
      </c>
      <c r="E20" s="11">
        <f t="shared" si="0"/>
        <v>0.8996727272727273</v>
      </c>
    </row>
    <row r="21" spans="1:5" ht="20.25" customHeight="1">
      <c r="A21" s="5" t="s">
        <v>312</v>
      </c>
      <c r="B21" s="6">
        <v>0.1</v>
      </c>
      <c r="C21" s="6"/>
      <c r="D21" s="6"/>
      <c r="E21" s="11" t="e">
        <f t="shared" si="0"/>
        <v>#DIV/0!</v>
      </c>
    </row>
    <row r="22" spans="1:5" ht="20.25" customHeight="1">
      <c r="A22" s="7" t="s">
        <v>355</v>
      </c>
      <c r="B22" s="8">
        <f>SUM(B23:B25)</f>
        <v>338</v>
      </c>
      <c r="C22" s="8">
        <f>SUM(C23:C25)</f>
        <v>296</v>
      </c>
      <c r="D22" s="8">
        <f>SUM(D23:D25)</f>
        <v>529.52</v>
      </c>
      <c r="E22" s="13">
        <f t="shared" si="0"/>
        <v>1.788918918918919</v>
      </c>
    </row>
    <row r="23" spans="1:5" ht="20.25" customHeight="1">
      <c r="A23" s="5" t="s">
        <v>320</v>
      </c>
      <c r="B23" s="6">
        <v>156</v>
      </c>
      <c r="C23" s="6"/>
      <c r="D23" s="6">
        <v>180.63</v>
      </c>
      <c r="E23" s="11" t="e">
        <f t="shared" si="0"/>
        <v>#DIV/0!</v>
      </c>
    </row>
    <row r="24" spans="1:5" ht="20.25" customHeight="1">
      <c r="A24" s="40" t="s">
        <v>411</v>
      </c>
      <c r="B24" s="6">
        <v>182</v>
      </c>
      <c r="C24" s="6">
        <v>296</v>
      </c>
      <c r="D24" s="6">
        <v>348.89</v>
      </c>
      <c r="E24" s="11">
        <f t="shared" si="0"/>
        <v>1.1786824324324323</v>
      </c>
    </row>
    <row r="25" spans="1:5" ht="20.25" customHeight="1">
      <c r="A25" s="5" t="s">
        <v>312</v>
      </c>
      <c r="B25" s="6"/>
      <c r="C25" s="6"/>
      <c r="D25" s="6"/>
      <c r="E25" s="11"/>
    </row>
    <row r="26" spans="1:5" ht="20.25" customHeight="1">
      <c r="A26" s="7" t="s">
        <v>356</v>
      </c>
      <c r="B26" s="8">
        <f>SUM(B27:B28)</f>
        <v>833</v>
      </c>
      <c r="C26" s="8">
        <f>SUM(C27:C28)</f>
        <v>1680</v>
      </c>
      <c r="D26" s="8">
        <f>SUM(D27:D28)</f>
        <v>2018.57</v>
      </c>
      <c r="E26" s="13">
        <f t="shared" si="0"/>
        <v>1.2015297619047618</v>
      </c>
    </row>
    <row r="27" spans="1:5" ht="20.25" customHeight="1">
      <c r="A27" s="5" t="s">
        <v>321</v>
      </c>
      <c r="B27" s="6">
        <v>817</v>
      </c>
      <c r="C27" s="6">
        <v>1680</v>
      </c>
      <c r="D27" s="6">
        <v>2018.57</v>
      </c>
      <c r="E27" s="11">
        <f t="shared" si="0"/>
        <v>1.2015297619047618</v>
      </c>
    </row>
    <row r="28" spans="1:5" ht="20.25" customHeight="1">
      <c r="A28" s="5" t="s">
        <v>312</v>
      </c>
      <c r="B28" s="6">
        <v>16</v>
      </c>
      <c r="C28" s="6"/>
      <c r="D28" s="6"/>
      <c r="E28" s="11" t="e">
        <f t="shared" si="0"/>
        <v>#DIV/0!</v>
      </c>
    </row>
    <row r="29" spans="1:5" ht="20.25" customHeight="1">
      <c r="A29" s="86" t="s">
        <v>569</v>
      </c>
      <c r="B29" s="8">
        <f>SUM(B30:B32)</f>
        <v>71</v>
      </c>
      <c r="C29" s="8">
        <f>SUM(C30:C32)</f>
        <v>16686</v>
      </c>
      <c r="D29" s="8">
        <f>SUM(D30:D32)</f>
        <v>17624</v>
      </c>
      <c r="E29" s="13">
        <f t="shared" si="0"/>
        <v>1.0562147908426225</v>
      </c>
    </row>
    <row r="30" spans="1:5" ht="20.25" customHeight="1">
      <c r="A30" s="5" t="s">
        <v>347</v>
      </c>
      <c r="B30" s="6">
        <v>58</v>
      </c>
      <c r="C30" s="6">
        <v>5106</v>
      </c>
      <c r="D30" s="6">
        <v>5424</v>
      </c>
      <c r="E30" s="11">
        <f t="shared" si="0"/>
        <v>1.062279670975323</v>
      </c>
    </row>
    <row r="31" spans="1:5" ht="20.25" customHeight="1">
      <c r="A31" s="40" t="s">
        <v>413</v>
      </c>
      <c r="B31" s="6">
        <v>13</v>
      </c>
      <c r="C31" s="6">
        <v>11580</v>
      </c>
      <c r="D31" s="6">
        <v>12200</v>
      </c>
      <c r="E31" s="11">
        <f t="shared" si="0"/>
        <v>1.0535405872193437</v>
      </c>
    </row>
    <row r="32" spans="1:5" ht="20.25" customHeight="1">
      <c r="A32" s="5" t="s">
        <v>312</v>
      </c>
      <c r="B32" s="6"/>
      <c r="C32" s="6"/>
      <c r="D32" s="6"/>
      <c r="E32" s="11"/>
    </row>
    <row r="33" spans="1:5" ht="20.25" customHeight="1">
      <c r="A33" s="86" t="s">
        <v>567</v>
      </c>
      <c r="B33" s="8">
        <f>SUM(B34:B35)</f>
        <v>6607</v>
      </c>
      <c r="C33" s="8">
        <f>SUM(C34:C35)</f>
        <v>26573</v>
      </c>
      <c r="D33" s="8">
        <f>SUM(D34:D35)</f>
        <v>27507.51</v>
      </c>
      <c r="E33" s="13">
        <f t="shared" si="0"/>
        <v>1.0351676513754562</v>
      </c>
    </row>
    <row r="34" spans="1:5" ht="20.25" customHeight="1">
      <c r="A34" s="5" t="s">
        <v>322</v>
      </c>
      <c r="B34" s="6">
        <v>6378</v>
      </c>
      <c r="C34" s="6">
        <v>26573</v>
      </c>
      <c r="D34" s="6">
        <v>27507.51</v>
      </c>
      <c r="E34" s="11">
        <f t="shared" si="0"/>
        <v>1.0351676513754562</v>
      </c>
    </row>
    <row r="35" spans="1:5" ht="20.25" customHeight="1">
      <c r="A35" s="5" t="s">
        <v>312</v>
      </c>
      <c r="B35" s="6">
        <v>229</v>
      </c>
      <c r="C35" s="6"/>
      <c r="D35" s="6"/>
      <c r="E35" s="11" t="e">
        <f t="shared" si="0"/>
        <v>#DIV/0!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1.28125" style="0" customWidth="1"/>
    <col min="2" max="2" width="7.00390625" style="0" hidden="1" customWidth="1"/>
    <col min="3" max="5" width="15.57421875" style="0" customWidth="1"/>
  </cols>
  <sheetData>
    <row r="1" spans="1:5" ht="39.75" customHeight="1">
      <c r="A1" s="115" t="s">
        <v>557</v>
      </c>
      <c r="B1" s="130"/>
      <c r="C1" s="130"/>
      <c r="D1" s="130"/>
      <c r="E1" s="130"/>
    </row>
    <row r="2" ht="27" customHeight="1">
      <c r="E2" s="17" t="s">
        <v>308</v>
      </c>
    </row>
    <row r="3" spans="1:5" s="3" customFormat="1" ht="27">
      <c r="A3" s="4" t="s">
        <v>307</v>
      </c>
      <c r="B3" s="4" t="s">
        <v>309</v>
      </c>
      <c r="C3" s="53" t="s">
        <v>558</v>
      </c>
      <c r="D3" s="53" t="s">
        <v>555</v>
      </c>
      <c r="E3" s="4" t="s">
        <v>466</v>
      </c>
    </row>
    <row r="4" spans="1:5" s="3" customFormat="1" ht="23.25" customHeight="1">
      <c r="A4" s="9" t="s">
        <v>330</v>
      </c>
      <c r="B4" s="10">
        <f>SUM(B5:B12)</f>
        <v>3103</v>
      </c>
      <c r="C4" s="10">
        <f>SUM(C5:C12)</f>
        <v>3444.3999999999996</v>
      </c>
      <c r="D4" s="10">
        <f>SUM(D5:D12)</f>
        <v>5008.030000000002</v>
      </c>
      <c r="E4" s="12">
        <f>D4/C4</f>
        <v>1.453962954360702</v>
      </c>
    </row>
    <row r="5" spans="1:5" ht="23.25" customHeight="1">
      <c r="A5" s="5" t="s">
        <v>324</v>
      </c>
      <c r="B5" s="5">
        <v>910</v>
      </c>
      <c r="C5" s="6">
        <v>-367</v>
      </c>
      <c r="D5" s="6">
        <v>7.010000000000218</v>
      </c>
      <c r="E5" s="11">
        <f>D5/C5</f>
        <v>-0.019100817438692692</v>
      </c>
    </row>
    <row r="6" spans="1:5" ht="23.25" customHeight="1">
      <c r="A6" s="5" t="s">
        <v>325</v>
      </c>
      <c r="B6" s="5">
        <v>120</v>
      </c>
      <c r="C6" s="6">
        <v>1.6</v>
      </c>
      <c r="D6" s="6">
        <v>94.67000000000007</v>
      </c>
      <c r="E6" s="11">
        <f aca="true" t="shared" si="0" ref="E6:E21">D6/C6</f>
        <v>59.168750000000045</v>
      </c>
    </row>
    <row r="7" spans="1:5" ht="23.25" customHeight="1">
      <c r="A7" s="5" t="s">
        <v>326</v>
      </c>
      <c r="B7" s="5">
        <v>580</v>
      </c>
      <c r="C7" s="6">
        <v>153</v>
      </c>
      <c r="D7" s="6">
        <v>1105.5200000000004</v>
      </c>
      <c r="E7" s="11">
        <f t="shared" si="0"/>
        <v>7.225620915032683</v>
      </c>
    </row>
    <row r="8" spans="1:5" ht="23.25" customHeight="1">
      <c r="A8" s="5" t="s">
        <v>327</v>
      </c>
      <c r="B8" s="5">
        <v>41</v>
      </c>
      <c r="C8" s="6">
        <v>32</v>
      </c>
      <c r="D8" s="6">
        <v>0</v>
      </c>
      <c r="E8" s="11">
        <f t="shared" si="0"/>
        <v>0</v>
      </c>
    </row>
    <row r="9" spans="1:5" ht="23.25" customHeight="1">
      <c r="A9" s="5" t="s">
        <v>328</v>
      </c>
      <c r="B9" s="5">
        <v>62</v>
      </c>
      <c r="C9" s="6">
        <v>3.2</v>
      </c>
      <c r="D9" s="6">
        <v>0</v>
      </c>
      <c r="E9" s="11">
        <f t="shared" si="0"/>
        <v>0</v>
      </c>
    </row>
    <row r="10" spans="1:5" ht="23.25" customHeight="1">
      <c r="A10" s="5" t="s">
        <v>329</v>
      </c>
      <c r="B10" s="5">
        <v>960</v>
      </c>
      <c r="C10" s="6">
        <v>1138</v>
      </c>
      <c r="D10" s="6">
        <v>1200.3100000000002</v>
      </c>
      <c r="E10" s="11">
        <f t="shared" si="0"/>
        <v>1.0547539543057998</v>
      </c>
    </row>
    <row r="11" spans="1:5" ht="23.25" customHeight="1">
      <c r="A11" s="87" t="s">
        <v>575</v>
      </c>
      <c r="B11" s="5">
        <v>120</v>
      </c>
      <c r="C11" s="6">
        <v>1523.6</v>
      </c>
      <c r="D11" s="6">
        <v>1705.7900000000009</v>
      </c>
      <c r="E11" s="11">
        <f t="shared" si="0"/>
        <v>1.1195786295615653</v>
      </c>
    </row>
    <row r="12" spans="1:5" ht="23.25" customHeight="1">
      <c r="A12" s="87" t="s">
        <v>574</v>
      </c>
      <c r="B12" s="5">
        <v>310</v>
      </c>
      <c r="C12" s="6">
        <v>960</v>
      </c>
      <c r="D12" s="6">
        <v>894.7299999999996</v>
      </c>
      <c r="E12" s="11">
        <f t="shared" si="0"/>
        <v>0.9320104166666662</v>
      </c>
    </row>
    <row r="13" spans="1:5" ht="23.25" customHeight="1">
      <c r="A13" s="7" t="s">
        <v>358</v>
      </c>
      <c r="B13" s="8">
        <f>SUM(B14:B21)</f>
        <v>12178</v>
      </c>
      <c r="C13" s="8">
        <f>SUM(C14:C21)</f>
        <v>22009</v>
      </c>
      <c r="D13" s="8">
        <f>SUM(D14:D21)</f>
        <v>26618.61</v>
      </c>
      <c r="E13" s="13">
        <f t="shared" si="0"/>
        <v>1.209442046435549</v>
      </c>
    </row>
    <row r="14" spans="1:5" ht="23.25" customHeight="1">
      <c r="A14" s="5" t="s">
        <v>331</v>
      </c>
      <c r="B14" s="5">
        <v>2167</v>
      </c>
      <c r="C14" s="6">
        <v>1450</v>
      </c>
      <c r="D14" s="6">
        <v>520.2</v>
      </c>
      <c r="E14" s="11">
        <f t="shared" si="0"/>
        <v>0.3587586206896552</v>
      </c>
    </row>
    <row r="15" spans="1:5" ht="23.25" customHeight="1">
      <c r="A15" s="5" t="s">
        <v>332</v>
      </c>
      <c r="B15" s="5">
        <v>128</v>
      </c>
      <c r="C15" s="6">
        <v>300</v>
      </c>
      <c r="D15" s="6">
        <v>212.68</v>
      </c>
      <c r="E15" s="11">
        <f t="shared" si="0"/>
        <v>0.7089333333333333</v>
      </c>
    </row>
    <row r="16" spans="1:5" ht="23.25" customHeight="1">
      <c r="A16" s="5" t="s">
        <v>333</v>
      </c>
      <c r="B16" s="5">
        <v>1568</v>
      </c>
      <c r="C16" s="6">
        <v>600</v>
      </c>
      <c r="D16" s="6">
        <v>4029.23</v>
      </c>
      <c r="E16" s="11">
        <f t="shared" si="0"/>
        <v>6.7153833333333335</v>
      </c>
    </row>
    <row r="17" spans="1:5" ht="23.25" customHeight="1">
      <c r="A17" s="5" t="s">
        <v>334</v>
      </c>
      <c r="B17" s="5">
        <v>78</v>
      </c>
      <c r="C17" s="6">
        <v>180</v>
      </c>
      <c r="D17" s="6">
        <v>86.85</v>
      </c>
      <c r="E17" s="11">
        <f t="shared" si="0"/>
        <v>0.4825</v>
      </c>
    </row>
    <row r="18" spans="1:5" ht="23.25" customHeight="1">
      <c r="A18" s="5" t="s">
        <v>335</v>
      </c>
      <c r="B18" s="5">
        <v>112</v>
      </c>
      <c r="C18" s="6">
        <v>172</v>
      </c>
      <c r="D18" s="6">
        <v>118.22</v>
      </c>
      <c r="E18" s="11">
        <f t="shared" si="0"/>
        <v>0.6873255813953488</v>
      </c>
    </row>
    <row r="19" spans="1:5" ht="23.25" customHeight="1">
      <c r="A19" s="5" t="s">
        <v>336</v>
      </c>
      <c r="B19" s="5">
        <v>5812</v>
      </c>
      <c r="C19" s="6">
        <v>7768</v>
      </c>
      <c r="D19" s="6">
        <v>8879.29</v>
      </c>
      <c r="E19" s="11">
        <f t="shared" si="0"/>
        <v>1.143059989701339</v>
      </c>
    </row>
    <row r="20" spans="1:5" ht="23.25" customHeight="1">
      <c r="A20" s="87" t="s">
        <v>573</v>
      </c>
      <c r="B20" s="5">
        <v>246</v>
      </c>
      <c r="C20" s="6">
        <v>5823</v>
      </c>
      <c r="D20" s="6">
        <v>6646.95</v>
      </c>
      <c r="E20" s="11">
        <f t="shared" si="0"/>
        <v>1.1414992272024729</v>
      </c>
    </row>
    <row r="21" spans="1:5" ht="23.25" customHeight="1">
      <c r="A21" s="87" t="s">
        <v>571</v>
      </c>
      <c r="B21" s="5">
        <v>2067</v>
      </c>
      <c r="C21" s="6">
        <v>5716</v>
      </c>
      <c r="D21" s="6">
        <v>6125.19</v>
      </c>
      <c r="E21" s="11">
        <f t="shared" si="0"/>
        <v>1.0715867739678095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115" t="s">
        <v>559</v>
      </c>
      <c r="B1" s="130"/>
      <c r="C1" s="130"/>
      <c r="D1" s="130"/>
      <c r="E1" s="130"/>
    </row>
    <row r="2" ht="27" customHeight="1">
      <c r="E2" s="17" t="s">
        <v>308</v>
      </c>
    </row>
    <row r="3" spans="1:5" s="3" customFormat="1" ht="27">
      <c r="A3" s="4" t="s">
        <v>307</v>
      </c>
      <c r="B3" s="4" t="s">
        <v>463</v>
      </c>
      <c r="C3" s="53" t="s">
        <v>555</v>
      </c>
      <c r="D3" s="53" t="s">
        <v>560</v>
      </c>
      <c r="E3" s="4" t="s">
        <v>338</v>
      </c>
    </row>
    <row r="4" spans="1:5" ht="13.5">
      <c r="A4" s="7" t="s">
        <v>359</v>
      </c>
      <c r="B4" s="8">
        <f aca="true" t="shared" si="0" ref="B4:D5">B9+B14+B19+B24+B29+B34+B39+B44</f>
        <v>22059.788467</v>
      </c>
      <c r="C4" s="8">
        <f t="shared" si="0"/>
        <v>70394.4</v>
      </c>
      <c r="D4" s="8">
        <f t="shared" si="0"/>
        <v>74488.36</v>
      </c>
      <c r="E4" s="13">
        <f>D4/C4</f>
        <v>1.0581574670712444</v>
      </c>
    </row>
    <row r="5" spans="1:5" ht="13.5">
      <c r="A5" s="5" t="s">
        <v>340</v>
      </c>
      <c r="B5" s="6">
        <f t="shared" si="0"/>
        <v>13655.377933</v>
      </c>
      <c r="C5" s="6">
        <f aca="true" t="shared" si="1" ref="C5:D8">C10+C15+C20+C25+C30+C35+C40+C45</f>
        <v>53972.82</v>
      </c>
      <c r="D5" s="6">
        <f t="shared" si="1"/>
        <v>56676.88</v>
      </c>
      <c r="E5" s="11">
        <f aca="true" t="shared" si="2" ref="E5:E47">D5/C5</f>
        <v>1.0501004023877203</v>
      </c>
    </row>
    <row r="6" spans="1:5" ht="13.5">
      <c r="A6" s="5" t="s">
        <v>341</v>
      </c>
      <c r="B6" s="6">
        <f>B11+B16+B21+B26+B31+B36+B41+B46</f>
        <v>295.350632</v>
      </c>
      <c r="C6" s="6">
        <f t="shared" si="1"/>
        <v>190.95</v>
      </c>
      <c r="D6" s="6">
        <f t="shared" si="1"/>
        <v>213.94</v>
      </c>
      <c r="E6" s="11">
        <f t="shared" si="2"/>
        <v>1.1203980099502489</v>
      </c>
    </row>
    <row r="7" spans="1:5" ht="13.5">
      <c r="A7" s="5" t="s">
        <v>342</v>
      </c>
      <c r="B7" s="6">
        <f>B12+B17+B22+B27+B32+B37+B42+B47</f>
        <v>7558.23</v>
      </c>
      <c r="C7" s="6">
        <f t="shared" si="1"/>
        <v>16230.630000000001</v>
      </c>
      <c r="D7" s="6">
        <f t="shared" si="1"/>
        <v>17597.54</v>
      </c>
      <c r="E7" s="11">
        <f t="shared" si="2"/>
        <v>1.0842179262296041</v>
      </c>
    </row>
    <row r="8" spans="1:5" ht="13.5">
      <c r="A8" s="5" t="s">
        <v>343</v>
      </c>
      <c r="B8" s="6">
        <f>B13+B18+B23+B28+B33+B38+B43+B48</f>
        <v>550.8299020000001</v>
      </c>
      <c r="C8" s="6">
        <f t="shared" si="1"/>
        <v>0</v>
      </c>
      <c r="D8" s="6">
        <f t="shared" si="1"/>
        <v>0</v>
      </c>
      <c r="E8" s="11"/>
    </row>
    <row r="9" spans="1:5" ht="13.5">
      <c r="A9" s="7" t="s">
        <v>349</v>
      </c>
      <c r="B9" s="8">
        <f>SUM(B10:B13)</f>
        <v>5406.34</v>
      </c>
      <c r="C9" s="8">
        <f>SUM(C10:C13)</f>
        <v>7197.91</v>
      </c>
      <c r="D9" s="8">
        <f>SUM(D10:D13)</f>
        <v>7640.26</v>
      </c>
      <c r="E9" s="13">
        <f t="shared" si="2"/>
        <v>1.0614553391192723</v>
      </c>
    </row>
    <row r="10" spans="1:5" ht="13.5">
      <c r="A10" s="5" t="s">
        <v>340</v>
      </c>
      <c r="B10" s="6">
        <v>4745.26</v>
      </c>
      <c r="C10" s="6">
        <v>7194.54</v>
      </c>
      <c r="D10" s="6">
        <v>7636.56</v>
      </c>
      <c r="E10" s="11">
        <f t="shared" si="2"/>
        <v>1.0614382573451535</v>
      </c>
    </row>
    <row r="11" spans="1:5" ht="13.5">
      <c r="A11" s="5" t="s">
        <v>341</v>
      </c>
      <c r="B11" s="6">
        <v>111.84</v>
      </c>
      <c r="C11" s="43">
        <v>3.37</v>
      </c>
      <c r="D11" s="6">
        <v>3.7</v>
      </c>
      <c r="E11" s="11">
        <f t="shared" si="2"/>
        <v>1.0979228486646884</v>
      </c>
    </row>
    <row r="12" spans="1:5" ht="13.5">
      <c r="A12" s="5" t="s">
        <v>342</v>
      </c>
      <c r="B12" s="6">
        <v>0</v>
      </c>
      <c r="C12" s="6"/>
      <c r="D12" s="6"/>
      <c r="E12" s="11"/>
    </row>
    <row r="13" spans="1:5" ht="13.5">
      <c r="A13" s="5" t="s">
        <v>343</v>
      </c>
      <c r="B13" s="6">
        <v>549.24</v>
      </c>
      <c r="C13" s="6"/>
      <c r="D13" s="6"/>
      <c r="E13" s="11"/>
    </row>
    <row r="14" spans="1:5" ht="13.5">
      <c r="A14" s="7" t="s">
        <v>344</v>
      </c>
      <c r="B14" s="8">
        <f>SUM(B15:B18)</f>
        <v>1068.25</v>
      </c>
      <c r="C14" s="8">
        <f>SUM(C15:C18)</f>
        <v>618.0400000000001</v>
      </c>
      <c r="D14" s="8">
        <f>SUM(D15:D18)</f>
        <v>1108.1200000000001</v>
      </c>
      <c r="E14" s="13">
        <f t="shared" si="2"/>
        <v>1.7929583845705779</v>
      </c>
    </row>
    <row r="15" spans="1:5" ht="13.5">
      <c r="A15" s="5" t="s">
        <v>340</v>
      </c>
      <c r="B15" s="6">
        <v>1056.41</v>
      </c>
      <c r="C15" s="6">
        <v>605.32</v>
      </c>
      <c r="D15" s="6">
        <v>1082.41</v>
      </c>
      <c r="E15" s="11">
        <f t="shared" si="2"/>
        <v>1.7881616335161568</v>
      </c>
    </row>
    <row r="16" spans="1:5" ht="13.5">
      <c r="A16" s="5" t="s">
        <v>341</v>
      </c>
      <c r="B16" s="6">
        <v>11.62</v>
      </c>
      <c r="C16" s="6">
        <v>12.72</v>
      </c>
      <c r="D16" s="6">
        <v>25.71</v>
      </c>
      <c r="E16" s="11">
        <f t="shared" si="2"/>
        <v>2.0212264150943398</v>
      </c>
    </row>
    <row r="17" spans="1:5" ht="13.5">
      <c r="A17" s="5" t="s">
        <v>342</v>
      </c>
      <c r="B17" s="6">
        <v>0</v>
      </c>
      <c r="C17" s="6"/>
      <c r="D17" s="6"/>
      <c r="E17" s="11"/>
    </row>
    <row r="18" spans="1:5" ht="13.5">
      <c r="A18" s="5" t="s">
        <v>343</v>
      </c>
      <c r="B18" s="6">
        <v>0.22</v>
      </c>
      <c r="C18" s="6"/>
      <c r="D18" s="6"/>
      <c r="E18" s="11"/>
    </row>
    <row r="19" spans="1:5" ht="13.5">
      <c r="A19" s="7" t="s">
        <v>350</v>
      </c>
      <c r="B19" s="8">
        <f>SUM(B20:B23)</f>
        <v>5896.15</v>
      </c>
      <c r="C19" s="8">
        <f>SUM(C20:C23)</f>
        <v>10227.39</v>
      </c>
      <c r="D19" s="8">
        <f>SUM(D20:D23)</f>
        <v>10893.109999999999</v>
      </c>
      <c r="E19" s="13">
        <f t="shared" si="2"/>
        <v>1.0650918758353793</v>
      </c>
    </row>
    <row r="20" spans="1:5" ht="13.5">
      <c r="A20" s="5" t="s">
        <v>340</v>
      </c>
      <c r="B20" s="6">
        <v>5866.38</v>
      </c>
      <c r="C20" s="6">
        <v>10169.01</v>
      </c>
      <c r="D20" s="6">
        <v>10834.73</v>
      </c>
      <c r="E20" s="11">
        <f t="shared" si="2"/>
        <v>1.0654655664612385</v>
      </c>
    </row>
    <row r="21" spans="1:5" ht="13.5">
      <c r="A21" s="5" t="s">
        <v>341</v>
      </c>
      <c r="B21" s="6">
        <v>28.53</v>
      </c>
      <c r="C21" s="6">
        <v>58.38</v>
      </c>
      <c r="D21" s="6">
        <v>58.38</v>
      </c>
      <c r="E21" s="11">
        <f t="shared" si="2"/>
        <v>1</v>
      </c>
    </row>
    <row r="22" spans="1:5" ht="13.5">
      <c r="A22" s="5" t="s">
        <v>342</v>
      </c>
      <c r="B22" s="6"/>
      <c r="C22" s="6"/>
      <c r="D22" s="6"/>
      <c r="E22" s="11"/>
    </row>
    <row r="23" spans="1:5" ht="13.5">
      <c r="A23" s="5" t="s">
        <v>343</v>
      </c>
      <c r="B23" s="6">
        <v>1.24</v>
      </c>
      <c r="C23" s="6"/>
      <c r="D23" s="6"/>
      <c r="E23" s="11"/>
    </row>
    <row r="24" spans="1:5" ht="13.5">
      <c r="A24" s="7" t="s">
        <v>345</v>
      </c>
      <c r="B24" s="8">
        <f>SUM(B25:B28)</f>
        <v>456.238467</v>
      </c>
      <c r="C24" s="8">
        <f>SUM(C25:C28)</f>
        <v>870.63</v>
      </c>
      <c r="D24" s="8">
        <f>SUM(D25:D28)</f>
        <v>918.84</v>
      </c>
      <c r="E24" s="13">
        <f t="shared" si="2"/>
        <v>1.055373694910582</v>
      </c>
    </row>
    <row r="25" spans="1:5" ht="13.5">
      <c r="A25" s="5" t="s">
        <v>340</v>
      </c>
      <c r="B25" s="6">
        <v>447.187933</v>
      </c>
      <c r="C25" s="6">
        <v>870.16</v>
      </c>
      <c r="D25" s="6">
        <v>918.37</v>
      </c>
      <c r="E25" s="11">
        <f t="shared" si="2"/>
        <v>1.0554036039349086</v>
      </c>
    </row>
    <row r="26" spans="1:5" ht="13.5">
      <c r="A26" s="5" t="s">
        <v>341</v>
      </c>
      <c r="B26" s="6">
        <v>8.990632000000002</v>
      </c>
      <c r="C26" s="6">
        <v>0.47</v>
      </c>
      <c r="D26" s="6">
        <v>0.47</v>
      </c>
      <c r="E26" s="11">
        <f t="shared" si="2"/>
        <v>1</v>
      </c>
    </row>
    <row r="27" spans="1:5" ht="13.5">
      <c r="A27" s="5" t="s">
        <v>342</v>
      </c>
      <c r="B27" s="6"/>
      <c r="C27" s="6"/>
      <c r="D27" s="6"/>
      <c r="E27" s="11"/>
    </row>
    <row r="28" spans="1:5" ht="13.5">
      <c r="A28" s="5" t="s">
        <v>343</v>
      </c>
      <c r="B28" s="6">
        <v>0.059902</v>
      </c>
      <c r="C28" s="6"/>
      <c r="D28" s="6"/>
      <c r="E28" s="11"/>
    </row>
    <row r="29" spans="1:5" ht="13.5">
      <c r="A29" s="7" t="s">
        <v>351</v>
      </c>
      <c r="B29" s="8">
        <f>SUM(B30:B33)</f>
        <v>234.62</v>
      </c>
      <c r="C29" s="8">
        <f>SUM(C30:C33)</f>
        <v>529.52</v>
      </c>
      <c r="D29" s="8">
        <f>SUM(D30:D33)</f>
        <v>562.71</v>
      </c>
      <c r="E29" s="13">
        <f t="shared" si="2"/>
        <v>1.0626794077655235</v>
      </c>
    </row>
    <row r="30" spans="1:5" ht="13.5">
      <c r="A30" s="5" t="s">
        <v>340</v>
      </c>
      <c r="B30" s="6">
        <v>226.18</v>
      </c>
      <c r="C30" s="6">
        <v>529.04</v>
      </c>
      <c r="D30" s="6">
        <v>562.23</v>
      </c>
      <c r="E30" s="11">
        <f t="shared" si="2"/>
        <v>1.0627362770300923</v>
      </c>
    </row>
    <row r="31" spans="1:5" ht="13.5">
      <c r="A31" s="5" t="s">
        <v>341</v>
      </c>
      <c r="B31" s="6">
        <v>8.37</v>
      </c>
      <c r="C31" s="6">
        <v>0.48</v>
      </c>
      <c r="D31" s="6">
        <v>0.48</v>
      </c>
      <c r="E31" s="11">
        <f t="shared" si="2"/>
        <v>1</v>
      </c>
    </row>
    <row r="32" spans="1:5" ht="13.5">
      <c r="A32" s="5" t="s">
        <v>342</v>
      </c>
      <c r="B32" s="6"/>
      <c r="C32" s="6"/>
      <c r="D32" s="6"/>
      <c r="E32" s="11"/>
    </row>
    <row r="33" spans="1:5" ht="13.5">
      <c r="A33" s="5" t="s">
        <v>343</v>
      </c>
      <c r="B33" s="6">
        <v>0.07</v>
      </c>
      <c r="C33" s="6"/>
      <c r="D33" s="6"/>
      <c r="E33" s="11"/>
    </row>
    <row r="34" spans="1:5" ht="13.5">
      <c r="A34" s="7" t="s">
        <v>346</v>
      </c>
      <c r="B34" s="8">
        <f>SUM(B35:B38)</f>
        <v>1867.7800000000002</v>
      </c>
      <c r="C34" s="8">
        <f>SUM(C35:C38)</f>
        <v>3218.88</v>
      </c>
      <c r="D34" s="8">
        <f>SUM(D35:D38)</f>
        <v>3338.1099999999997</v>
      </c>
      <c r="E34" s="13">
        <f t="shared" si="2"/>
        <v>1.037040834078934</v>
      </c>
    </row>
    <row r="35" spans="1:5" ht="13.5">
      <c r="A35" s="5" t="s">
        <v>340</v>
      </c>
      <c r="B35" s="6">
        <v>737.72</v>
      </c>
      <c r="C35" s="6">
        <v>782.69</v>
      </c>
      <c r="D35" s="6">
        <v>824.05</v>
      </c>
      <c r="E35" s="11">
        <f t="shared" si="2"/>
        <v>1.0528433990468766</v>
      </c>
    </row>
    <row r="36" spans="1:5" ht="13.5">
      <c r="A36" s="5" t="s">
        <v>341</v>
      </c>
      <c r="B36" s="6">
        <v>83.86</v>
      </c>
      <c r="C36" s="6">
        <v>23.65</v>
      </c>
      <c r="D36" s="6">
        <v>33.32</v>
      </c>
      <c r="E36" s="11">
        <f t="shared" si="2"/>
        <v>1.408879492600423</v>
      </c>
    </row>
    <row r="37" spans="1:5" ht="13.5">
      <c r="A37" s="5" t="s">
        <v>342</v>
      </c>
      <c r="B37" s="6">
        <v>1046.2</v>
      </c>
      <c r="C37" s="6">
        <v>2412.54</v>
      </c>
      <c r="D37" s="6">
        <v>2480.74</v>
      </c>
      <c r="E37" s="11">
        <f t="shared" si="2"/>
        <v>1.028268961343646</v>
      </c>
    </row>
    <row r="38" spans="1:5" ht="13.5">
      <c r="A38" s="5" t="s">
        <v>343</v>
      </c>
      <c r="B38" s="6"/>
      <c r="C38" s="6"/>
      <c r="D38" s="6"/>
      <c r="E38" s="11"/>
    </row>
    <row r="39" spans="1:5" ht="13.5">
      <c r="A39" s="86" t="s">
        <v>568</v>
      </c>
      <c r="B39" s="8">
        <f>SUM(B40:B43)</f>
        <v>94.83</v>
      </c>
      <c r="C39" s="8">
        <f>SUM(C40:C43)</f>
        <v>19329.79</v>
      </c>
      <c r="D39" s="8">
        <f>SUM(D40:D43)</f>
        <v>21474.32</v>
      </c>
      <c r="E39" s="13">
        <f t="shared" si="2"/>
        <v>1.1109442989292693</v>
      </c>
    </row>
    <row r="40" spans="1:5" ht="13.5">
      <c r="A40" s="5" t="s">
        <v>340</v>
      </c>
      <c r="B40" s="6">
        <v>56.62</v>
      </c>
      <c r="C40" s="6">
        <v>9845.17</v>
      </c>
      <c r="D40" s="6">
        <v>11410.99</v>
      </c>
      <c r="E40" s="11">
        <f t="shared" si="2"/>
        <v>1.159044485773227</v>
      </c>
    </row>
    <row r="41" spans="1:5" ht="13.5">
      <c r="A41" s="5" t="s">
        <v>341</v>
      </c>
      <c r="B41" s="6">
        <v>5.39</v>
      </c>
      <c r="C41" s="6">
        <v>6.53</v>
      </c>
      <c r="D41" s="6">
        <v>6.53</v>
      </c>
      <c r="E41" s="11">
        <f t="shared" si="2"/>
        <v>1</v>
      </c>
    </row>
    <row r="42" spans="1:5" ht="13.5">
      <c r="A42" s="5" t="s">
        <v>342</v>
      </c>
      <c r="B42" s="6">
        <v>32.82</v>
      </c>
      <c r="C42" s="6">
        <v>9478.09</v>
      </c>
      <c r="D42" s="6">
        <v>10056.8</v>
      </c>
      <c r="E42" s="11">
        <f t="shared" si="2"/>
        <v>1.0610576603514</v>
      </c>
    </row>
    <row r="43" spans="1:5" ht="13.5">
      <c r="A43" s="5" t="s">
        <v>343</v>
      </c>
      <c r="B43" s="6"/>
      <c r="C43" s="6"/>
      <c r="D43" s="6"/>
      <c r="E43" s="11"/>
    </row>
    <row r="44" spans="1:5" ht="13.5">
      <c r="A44" s="86" t="s">
        <v>567</v>
      </c>
      <c r="B44" s="8">
        <f>SUM(B45:B48)</f>
        <v>7035.58</v>
      </c>
      <c r="C44" s="8">
        <f>SUM(C45:C48)</f>
        <v>28402.239999999998</v>
      </c>
      <c r="D44" s="8">
        <f>SUM(D45:D48)</f>
        <v>28552.89</v>
      </c>
      <c r="E44" s="13">
        <f t="shared" si="2"/>
        <v>1.0053041591085774</v>
      </c>
    </row>
    <row r="45" spans="1:5" ht="13.5">
      <c r="A45" s="5" t="s">
        <v>340</v>
      </c>
      <c r="B45" s="6">
        <v>519.62</v>
      </c>
      <c r="C45" s="6">
        <v>23976.89</v>
      </c>
      <c r="D45" s="6">
        <v>23407.54</v>
      </c>
      <c r="E45" s="11">
        <f t="shared" si="2"/>
        <v>0.9762542181242022</v>
      </c>
    </row>
    <row r="46" spans="1:5" ht="13.5">
      <c r="A46" s="5" t="s">
        <v>341</v>
      </c>
      <c r="B46" s="6">
        <v>36.75</v>
      </c>
      <c r="C46" s="6">
        <v>85.35</v>
      </c>
      <c r="D46" s="6">
        <v>85.35</v>
      </c>
      <c r="E46" s="11">
        <f t="shared" si="2"/>
        <v>1</v>
      </c>
    </row>
    <row r="47" spans="1:5" ht="13.5">
      <c r="A47" s="5" t="s">
        <v>342</v>
      </c>
      <c r="B47" s="6">
        <v>6479.21</v>
      </c>
      <c r="C47" s="6">
        <v>4340</v>
      </c>
      <c r="D47" s="6">
        <v>5060</v>
      </c>
      <c r="E47" s="11">
        <f t="shared" si="2"/>
        <v>1.1658986175115207</v>
      </c>
    </row>
    <row r="48" spans="1:5" ht="13.5">
      <c r="A48" s="5" t="s">
        <v>343</v>
      </c>
      <c r="B48" s="5"/>
      <c r="C48" s="5"/>
      <c r="D48" s="5"/>
      <c r="E48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C8" sqref="C8:D8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115" t="s">
        <v>561</v>
      </c>
      <c r="B1" s="130"/>
      <c r="C1" s="130"/>
      <c r="D1" s="130"/>
      <c r="E1" s="130"/>
    </row>
    <row r="2" ht="27" customHeight="1">
      <c r="E2" s="17" t="s">
        <v>308</v>
      </c>
    </row>
    <row r="3" spans="1:5" s="3" customFormat="1" ht="27">
      <c r="A3" s="4" t="s">
        <v>307</v>
      </c>
      <c r="B3" s="4" t="s">
        <v>310</v>
      </c>
      <c r="C3" s="53" t="s">
        <v>555</v>
      </c>
      <c r="D3" s="53" t="s">
        <v>560</v>
      </c>
      <c r="E3" s="4" t="s">
        <v>338</v>
      </c>
    </row>
    <row r="4" spans="1:5" ht="20.25" customHeight="1">
      <c r="A4" s="7" t="s">
        <v>323</v>
      </c>
      <c r="B4" s="8">
        <f>B7+B10+B14+B18+B22+B26+B29+B33</f>
        <v>20375.11</v>
      </c>
      <c r="C4" s="8">
        <f>C7+C10+C14+C18+C22+C26+C29+C33</f>
        <v>65386.369999999995</v>
      </c>
      <c r="D4" s="8">
        <f>D7+D10+D14+D18+D22+D26+D29+D33</f>
        <v>68810.58000000002</v>
      </c>
      <c r="E4" s="14">
        <f>D4/C4</f>
        <v>1.052368865254334</v>
      </c>
    </row>
    <row r="5" spans="1:5" ht="20.25" customHeight="1">
      <c r="A5" s="5" t="s">
        <v>313</v>
      </c>
      <c r="B5" s="6">
        <f>B8+B11+B15+B19+B23+B27+B30+B34</f>
        <v>15124.449999999999</v>
      </c>
      <c r="C5" s="6">
        <f>+C8+C12+C15+C16+C20+C24+C27+C30+C31+C34</f>
        <v>64806.56</v>
      </c>
      <c r="D5" s="6">
        <f>+D8+D12+D15+D16+D20+D24+D27+D30+D31+D34</f>
        <v>68186.16</v>
      </c>
      <c r="E5" s="15">
        <f aca="true" t="shared" si="0" ref="E5:E34">D5/C5</f>
        <v>1.0521490417019512</v>
      </c>
    </row>
    <row r="6" spans="1:5" ht="20.25" customHeight="1">
      <c r="A6" s="5" t="s">
        <v>312</v>
      </c>
      <c r="B6" s="6">
        <f>B9+B13+B17+B21+B25+B28+B32+B35</f>
        <v>544.52</v>
      </c>
      <c r="C6" s="6"/>
      <c r="D6" s="6"/>
      <c r="E6" s="15"/>
    </row>
    <row r="7" spans="1:5" ht="20.25" customHeight="1">
      <c r="A7" s="7" t="s">
        <v>352</v>
      </c>
      <c r="B7" s="8">
        <f>SUM(B8:B9)</f>
        <v>4780.5199999999995</v>
      </c>
      <c r="C7" s="8">
        <f>SUM(C8:C9)</f>
        <v>7190.9</v>
      </c>
      <c r="D7" s="8">
        <f>SUM(D8:D9)</f>
        <v>7638.41</v>
      </c>
      <c r="E7" s="14">
        <f t="shared" si="0"/>
        <v>1.0622328220389659</v>
      </c>
    </row>
    <row r="8" spans="1:5" ht="20.25" customHeight="1">
      <c r="A8" s="5" t="s">
        <v>311</v>
      </c>
      <c r="B8" s="6">
        <v>4519.73</v>
      </c>
      <c r="C8" s="6">
        <v>7190.9</v>
      </c>
      <c r="D8" s="6">
        <v>7638.41</v>
      </c>
      <c r="E8" s="15">
        <f t="shared" si="0"/>
        <v>1.0622328220389659</v>
      </c>
    </row>
    <row r="9" spans="1:5" ht="20.25" customHeight="1">
      <c r="A9" s="5" t="s">
        <v>312</v>
      </c>
      <c r="B9" s="6">
        <v>260.79</v>
      </c>
      <c r="C9" s="6"/>
      <c r="D9" s="6"/>
      <c r="E9" s="15"/>
    </row>
    <row r="10" spans="1:5" ht="20.25" customHeight="1">
      <c r="A10" s="7" t="s">
        <v>314</v>
      </c>
      <c r="B10" s="42">
        <f>SUM(B11:B13)</f>
        <v>762.6600000000001</v>
      </c>
      <c r="C10" s="8">
        <f>SUM(C11:C13)</f>
        <v>523.37</v>
      </c>
      <c r="D10" s="8">
        <f>SUM(D11:D13)</f>
        <v>531.15</v>
      </c>
      <c r="E10" s="14">
        <f t="shared" si="0"/>
        <v>1.0148652005273515</v>
      </c>
    </row>
    <row r="11" spans="1:5" ht="20.25" customHeight="1">
      <c r="A11" s="5" t="s">
        <v>317</v>
      </c>
      <c r="B11" s="43">
        <v>4.62</v>
      </c>
      <c r="C11" s="6">
        <v>23.37</v>
      </c>
      <c r="D11" s="6">
        <v>31.15</v>
      </c>
      <c r="E11" s="15"/>
    </row>
    <row r="12" spans="1:5" ht="20.25" customHeight="1">
      <c r="A12" s="41" t="s">
        <v>410</v>
      </c>
      <c r="B12" s="43">
        <v>756.72</v>
      </c>
      <c r="C12" s="6">
        <v>500</v>
      </c>
      <c r="D12" s="6">
        <v>500</v>
      </c>
      <c r="E12" s="11">
        <f t="shared" si="0"/>
        <v>1</v>
      </c>
    </row>
    <row r="13" spans="1:5" ht="20.25" customHeight="1">
      <c r="A13" s="5" t="s">
        <v>312</v>
      </c>
      <c r="B13" s="43">
        <v>1.32</v>
      </c>
      <c r="C13" s="6"/>
      <c r="D13" s="6"/>
      <c r="E13" s="15"/>
    </row>
    <row r="14" spans="1:5" ht="20.25" customHeight="1">
      <c r="A14" s="7" t="s">
        <v>315</v>
      </c>
      <c r="B14" s="8">
        <f>SUM(B15:B17)</f>
        <v>6041.93</v>
      </c>
      <c r="C14" s="8">
        <f>SUM(C15:C17)</f>
        <v>9121.869999999999</v>
      </c>
      <c r="D14" s="8">
        <f>SUM(D15:D17)</f>
        <v>9308.34</v>
      </c>
      <c r="E14" s="14">
        <f t="shared" si="0"/>
        <v>1.0204420804067589</v>
      </c>
    </row>
    <row r="15" spans="1:5" ht="20.25" customHeight="1">
      <c r="A15" s="5" t="s">
        <v>319</v>
      </c>
      <c r="B15" s="6">
        <v>2703.08</v>
      </c>
      <c r="C15" s="6">
        <v>3414.05</v>
      </c>
      <c r="D15" s="6">
        <v>3430.87</v>
      </c>
      <c r="E15" s="15">
        <f t="shared" si="0"/>
        <v>1.0049266999604574</v>
      </c>
    </row>
    <row r="16" spans="1:5" ht="20.25" customHeight="1">
      <c r="A16" s="40" t="s">
        <v>412</v>
      </c>
      <c r="B16" s="6">
        <v>3338.85</v>
      </c>
      <c r="C16" s="6">
        <v>5707.82</v>
      </c>
      <c r="D16" s="6">
        <v>5877.47</v>
      </c>
      <c r="E16" s="11">
        <f t="shared" si="0"/>
        <v>1.029722380873959</v>
      </c>
    </row>
    <row r="17" spans="1:5" ht="20.25" customHeight="1">
      <c r="A17" s="5" t="s">
        <v>312</v>
      </c>
      <c r="B17" s="6"/>
      <c r="C17" s="6"/>
      <c r="D17" s="6"/>
      <c r="E17" s="15"/>
    </row>
    <row r="18" spans="1:5" ht="20.25" customHeight="1">
      <c r="A18" s="7" t="s">
        <v>316</v>
      </c>
      <c r="B18" s="8">
        <f>SUM(B19:B21)</f>
        <v>633.9699999999999</v>
      </c>
      <c r="C18" s="8">
        <f>SUM(C19:C21)</f>
        <v>870.63</v>
      </c>
      <c r="D18" s="8">
        <f>SUM(D19:D21)</f>
        <v>918.84</v>
      </c>
      <c r="E18" s="14">
        <f t="shared" si="0"/>
        <v>1.055373694910582</v>
      </c>
    </row>
    <row r="19" spans="1:5" ht="20.25" customHeight="1">
      <c r="A19" s="5" t="s">
        <v>318</v>
      </c>
      <c r="B19" s="6">
        <v>226.1</v>
      </c>
      <c r="C19" s="6">
        <v>375.81</v>
      </c>
      <c r="D19" s="6">
        <v>395.15</v>
      </c>
      <c r="E19" s="15"/>
    </row>
    <row r="20" spans="1:5" ht="20.25" customHeight="1">
      <c r="A20" s="40" t="s">
        <v>414</v>
      </c>
      <c r="B20" s="6">
        <v>407.57</v>
      </c>
      <c r="C20" s="6">
        <v>494.82</v>
      </c>
      <c r="D20" s="6">
        <v>523.69</v>
      </c>
      <c r="E20" s="11">
        <f t="shared" si="0"/>
        <v>1.0583444484863185</v>
      </c>
    </row>
    <row r="21" spans="1:5" ht="20.25" customHeight="1">
      <c r="A21" s="5" t="s">
        <v>312</v>
      </c>
      <c r="B21" s="6">
        <v>0.3</v>
      </c>
      <c r="C21" s="6"/>
      <c r="D21" s="6"/>
      <c r="E21" s="15"/>
    </row>
    <row r="22" spans="1:5" ht="20.25" customHeight="1">
      <c r="A22" s="7" t="s">
        <v>360</v>
      </c>
      <c r="B22" s="8">
        <f>SUM(B23:B25)</f>
        <v>355.4</v>
      </c>
      <c r="C22" s="8">
        <f>SUM(C23:C25)</f>
        <v>529.52</v>
      </c>
      <c r="D22" s="8">
        <f>SUM(D23:D25)</f>
        <v>568.06</v>
      </c>
      <c r="E22" s="14">
        <f t="shared" si="0"/>
        <v>1.0727828977186886</v>
      </c>
    </row>
    <row r="23" spans="1:5" ht="20.25" customHeight="1">
      <c r="A23" s="5" t="s">
        <v>320</v>
      </c>
      <c r="B23" s="6">
        <v>167.82</v>
      </c>
      <c r="C23" s="6">
        <v>180.63</v>
      </c>
      <c r="D23" s="6">
        <v>198.12</v>
      </c>
      <c r="E23" s="15"/>
    </row>
    <row r="24" spans="1:5" ht="20.25" customHeight="1">
      <c r="A24" s="40" t="s">
        <v>411</v>
      </c>
      <c r="B24" s="6">
        <v>187.58</v>
      </c>
      <c r="C24" s="6">
        <v>348.89</v>
      </c>
      <c r="D24" s="6">
        <v>369.94</v>
      </c>
      <c r="E24" s="11">
        <f t="shared" si="0"/>
        <v>1.0603342027573162</v>
      </c>
    </row>
    <row r="25" spans="1:5" ht="20.25" customHeight="1">
      <c r="A25" s="5" t="s">
        <v>312</v>
      </c>
      <c r="B25" s="6"/>
      <c r="C25" s="6"/>
      <c r="D25" s="6"/>
      <c r="E25" s="15"/>
    </row>
    <row r="26" spans="1:5" ht="20.25" customHeight="1">
      <c r="A26" s="7" t="s">
        <v>361</v>
      </c>
      <c r="B26" s="8">
        <f>SUM(B27:B28)</f>
        <v>945.17</v>
      </c>
      <c r="C26" s="8">
        <f>SUM(C27:C28)</f>
        <v>2018.57</v>
      </c>
      <c r="D26" s="8">
        <f>SUM(D27:D28)</f>
        <v>2059.08</v>
      </c>
      <c r="E26" s="14">
        <f t="shared" si="0"/>
        <v>1.0200686624689757</v>
      </c>
    </row>
    <row r="27" spans="1:5" ht="20.25" customHeight="1">
      <c r="A27" s="5" t="s">
        <v>321</v>
      </c>
      <c r="B27" s="6">
        <v>922.87</v>
      </c>
      <c r="C27" s="6">
        <v>2018.57</v>
      </c>
      <c r="D27" s="6">
        <v>2059.08</v>
      </c>
      <c r="E27" s="15">
        <f t="shared" si="0"/>
        <v>1.0200686624689757</v>
      </c>
    </row>
    <row r="28" spans="1:5" ht="20.25" customHeight="1">
      <c r="A28" s="5" t="s">
        <v>312</v>
      </c>
      <c r="B28" s="6">
        <v>22.3</v>
      </c>
      <c r="C28" s="6"/>
      <c r="D28" s="6"/>
      <c r="E28" s="15"/>
    </row>
    <row r="29" spans="1:5" ht="20.25" customHeight="1">
      <c r="A29" s="86" t="s">
        <v>577</v>
      </c>
      <c r="B29" s="8">
        <f>SUM(B30:B32)</f>
        <v>81.39</v>
      </c>
      <c r="C29" s="8">
        <f>SUM(C30:C32)</f>
        <v>17624</v>
      </c>
      <c r="D29" s="8">
        <f>SUM(D30:D32)</f>
        <v>19372.16</v>
      </c>
      <c r="E29" s="14">
        <f t="shared" si="0"/>
        <v>1.099192010894235</v>
      </c>
    </row>
    <row r="30" spans="1:5" ht="20.25" customHeight="1">
      <c r="A30" s="5" t="s">
        <v>347</v>
      </c>
      <c r="B30" s="6">
        <v>65.97</v>
      </c>
      <c r="C30" s="6">
        <v>5424</v>
      </c>
      <c r="D30" s="6">
        <v>5972.16</v>
      </c>
      <c r="E30" s="15">
        <f t="shared" si="0"/>
        <v>1.1010619469026548</v>
      </c>
    </row>
    <row r="31" spans="1:5" ht="20.25" customHeight="1">
      <c r="A31" s="40" t="s">
        <v>413</v>
      </c>
      <c r="B31" s="6">
        <v>15.42</v>
      </c>
      <c r="C31" s="6">
        <v>12200</v>
      </c>
      <c r="D31" s="6">
        <v>13400</v>
      </c>
      <c r="E31" s="11">
        <f t="shared" si="0"/>
        <v>1.098360655737705</v>
      </c>
    </row>
    <row r="32" spans="1:5" ht="20.25" customHeight="1">
      <c r="A32" s="5" t="s">
        <v>312</v>
      </c>
      <c r="B32" s="8"/>
      <c r="C32" s="6"/>
      <c r="D32" s="6"/>
      <c r="E32" s="15"/>
    </row>
    <row r="33" spans="1:5" ht="20.25" customHeight="1">
      <c r="A33" s="86" t="s">
        <v>576</v>
      </c>
      <c r="B33" s="8">
        <f>SUM(B34:B35)</f>
        <v>6774.070000000001</v>
      </c>
      <c r="C33" s="8">
        <f>SUM(C34:C35)</f>
        <v>27507.51</v>
      </c>
      <c r="D33" s="8">
        <f>SUM(D34:D35)</f>
        <v>28414.54</v>
      </c>
      <c r="E33" s="14">
        <f t="shared" si="0"/>
        <v>1.0329739042174302</v>
      </c>
    </row>
    <row r="34" spans="1:5" ht="20.25" customHeight="1">
      <c r="A34" s="5" t="s">
        <v>322</v>
      </c>
      <c r="B34" s="6">
        <v>6514.26</v>
      </c>
      <c r="C34" s="6">
        <v>27507.51</v>
      </c>
      <c r="D34" s="6">
        <v>28414.54</v>
      </c>
      <c r="E34" s="15">
        <f t="shared" si="0"/>
        <v>1.0329739042174302</v>
      </c>
    </row>
    <row r="35" spans="1:5" ht="20.25" customHeight="1">
      <c r="A35" s="5" t="s">
        <v>312</v>
      </c>
      <c r="B35" s="6">
        <v>259.81</v>
      </c>
      <c r="C35" s="6"/>
      <c r="D35" s="6"/>
      <c r="E35" s="15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8">
      <selection activeCell="E28" sqref="A3:E28"/>
    </sheetView>
  </sheetViews>
  <sheetFormatPr defaultColWidth="9.140625" defaultRowHeight="15"/>
  <cols>
    <col min="1" max="1" width="38.2812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533</v>
      </c>
      <c r="B1" s="115"/>
      <c r="C1" s="115"/>
      <c r="D1" s="115"/>
      <c r="E1" s="115"/>
    </row>
    <row r="2" ht="27" customHeight="1">
      <c r="E2" s="17" t="s">
        <v>50</v>
      </c>
    </row>
    <row r="3" spans="1:5" s="1" customFormat="1" ht="21" customHeight="1">
      <c r="A3" s="19" t="s">
        <v>0</v>
      </c>
      <c r="B3" s="49" t="s">
        <v>2</v>
      </c>
      <c r="C3" s="49" t="s">
        <v>464</v>
      </c>
      <c r="D3" s="49" t="s">
        <v>467</v>
      </c>
      <c r="E3" s="50" t="s">
        <v>49</v>
      </c>
    </row>
    <row r="4" spans="1:5" ht="21" customHeight="1">
      <c r="A4" s="20" t="s">
        <v>51</v>
      </c>
      <c r="B4" s="23">
        <v>34715</v>
      </c>
      <c r="C4" s="23">
        <v>39228</v>
      </c>
      <c r="D4" s="23">
        <v>34708</v>
      </c>
      <c r="E4" s="82">
        <f>(D4/C4-1)</f>
        <v>-0.11522381972060769</v>
      </c>
    </row>
    <row r="5" spans="1:5" ht="21" customHeight="1">
      <c r="A5" s="20" t="s">
        <v>52</v>
      </c>
      <c r="B5" s="23"/>
      <c r="C5" s="23"/>
      <c r="D5" s="23"/>
      <c r="E5" s="82"/>
    </row>
    <row r="6" spans="1:5" ht="21" customHeight="1">
      <c r="A6" s="20" t="s">
        <v>53</v>
      </c>
      <c r="B6" s="23">
        <v>12</v>
      </c>
      <c r="C6" s="23"/>
      <c r="D6" s="23"/>
      <c r="E6" s="82"/>
    </row>
    <row r="7" spans="1:5" ht="21" customHeight="1">
      <c r="A7" s="20" t="s">
        <v>54</v>
      </c>
      <c r="B7" s="23">
        <v>12933</v>
      </c>
      <c r="C7" s="23">
        <v>21680</v>
      </c>
      <c r="D7" s="23">
        <v>61253</v>
      </c>
      <c r="E7" s="82">
        <f aca="true" t="shared" si="0" ref="E7:E28">(D7/C7-1)</f>
        <v>1.8253228782287825</v>
      </c>
    </row>
    <row r="8" spans="1:5" ht="21" customHeight="1">
      <c r="A8" s="20" t="s">
        <v>55</v>
      </c>
      <c r="B8" s="23">
        <v>55413</v>
      </c>
      <c r="C8" s="23">
        <v>94923</v>
      </c>
      <c r="D8" s="23">
        <v>108305</v>
      </c>
      <c r="E8" s="82">
        <f t="shared" si="0"/>
        <v>0.14097742380666434</v>
      </c>
    </row>
    <row r="9" spans="1:5" ht="21" customHeight="1">
      <c r="A9" s="20" t="s">
        <v>56</v>
      </c>
      <c r="B9" s="23">
        <v>306</v>
      </c>
      <c r="C9" s="23">
        <v>362</v>
      </c>
      <c r="D9" s="23">
        <v>404</v>
      </c>
      <c r="E9" s="82">
        <f t="shared" si="0"/>
        <v>0.11602209944751385</v>
      </c>
    </row>
    <row r="10" spans="1:5" ht="21" customHeight="1">
      <c r="A10" s="20" t="s">
        <v>57</v>
      </c>
      <c r="B10" s="23">
        <v>3040</v>
      </c>
      <c r="C10" s="23">
        <v>4196</v>
      </c>
      <c r="D10" s="23">
        <v>4206</v>
      </c>
      <c r="E10" s="82">
        <f t="shared" si="0"/>
        <v>0.0023832221163011535</v>
      </c>
    </row>
    <row r="11" spans="1:5" ht="21" customHeight="1">
      <c r="A11" s="20" t="s">
        <v>58</v>
      </c>
      <c r="B11" s="23">
        <v>14611</v>
      </c>
      <c r="C11" s="23">
        <v>44383</v>
      </c>
      <c r="D11" s="23">
        <v>38456</v>
      </c>
      <c r="E11" s="82">
        <f t="shared" si="0"/>
        <v>-0.13354212198364235</v>
      </c>
    </row>
    <row r="12" spans="1:5" ht="21" customHeight="1">
      <c r="A12" s="20" t="s">
        <v>59</v>
      </c>
      <c r="B12" s="23">
        <v>15790</v>
      </c>
      <c r="C12" s="23">
        <v>28370</v>
      </c>
      <c r="D12" s="23">
        <v>20547</v>
      </c>
      <c r="E12" s="82">
        <f t="shared" si="0"/>
        <v>-0.2757490306661967</v>
      </c>
    </row>
    <row r="13" spans="1:5" ht="21" customHeight="1">
      <c r="A13" s="20" t="s">
        <v>60</v>
      </c>
      <c r="B13" s="23">
        <v>743</v>
      </c>
      <c r="C13" s="23">
        <v>5845</v>
      </c>
      <c r="D13" s="23">
        <v>2397</v>
      </c>
      <c r="E13" s="82">
        <f t="shared" si="0"/>
        <v>-0.5899059024807527</v>
      </c>
    </row>
    <row r="14" spans="1:5" ht="21" customHeight="1">
      <c r="A14" s="20" t="s">
        <v>61</v>
      </c>
      <c r="B14" s="23">
        <v>2797</v>
      </c>
      <c r="C14" s="23">
        <v>4571</v>
      </c>
      <c r="D14" s="23">
        <v>5907</v>
      </c>
      <c r="E14" s="82">
        <f t="shared" si="0"/>
        <v>0.29227740100634425</v>
      </c>
    </row>
    <row r="15" spans="1:5" ht="21" customHeight="1">
      <c r="A15" s="20" t="s">
        <v>62</v>
      </c>
      <c r="B15" s="23">
        <v>29742</v>
      </c>
      <c r="C15" s="23">
        <v>56978</v>
      </c>
      <c r="D15" s="23">
        <v>58683</v>
      </c>
      <c r="E15" s="82">
        <f t="shared" si="0"/>
        <v>0.02992383025027201</v>
      </c>
    </row>
    <row r="16" spans="1:5" ht="21" customHeight="1">
      <c r="A16" s="20" t="s">
        <v>63</v>
      </c>
      <c r="B16" s="23">
        <v>464</v>
      </c>
      <c r="C16" s="23">
        <v>3190</v>
      </c>
      <c r="D16" s="23">
        <v>13134</v>
      </c>
      <c r="E16" s="82">
        <f t="shared" si="0"/>
        <v>3.117241379310345</v>
      </c>
    </row>
    <row r="17" spans="1:5" ht="21" customHeight="1">
      <c r="A17" s="20" t="s">
        <v>64</v>
      </c>
      <c r="B17" s="23"/>
      <c r="C17" s="23">
        <v>3809</v>
      </c>
      <c r="D17" s="23">
        <v>2394</v>
      </c>
      <c r="E17" s="82">
        <f t="shared" si="0"/>
        <v>-0.37148857967970594</v>
      </c>
    </row>
    <row r="18" spans="1:5" ht="21" customHeight="1">
      <c r="A18" s="20" t="s">
        <v>65</v>
      </c>
      <c r="B18" s="23">
        <v>76</v>
      </c>
      <c r="C18" s="23">
        <v>1606</v>
      </c>
      <c r="D18" s="23">
        <v>2252</v>
      </c>
      <c r="E18" s="82">
        <f t="shared" si="0"/>
        <v>0.402241594022416</v>
      </c>
    </row>
    <row r="19" spans="1:5" ht="21" customHeight="1">
      <c r="A19" s="20" t="s">
        <v>66</v>
      </c>
      <c r="B19" s="23">
        <v>781</v>
      </c>
      <c r="C19" s="23"/>
      <c r="D19" s="23"/>
      <c r="E19" s="82"/>
    </row>
    <row r="20" spans="1:5" ht="21" customHeight="1">
      <c r="A20" s="20" t="s">
        <v>67</v>
      </c>
      <c r="B20" s="23"/>
      <c r="C20" s="23"/>
      <c r="D20" s="23"/>
      <c r="E20" s="82"/>
    </row>
    <row r="21" spans="1:5" ht="21" customHeight="1">
      <c r="A21" s="20" t="s">
        <v>68</v>
      </c>
      <c r="B21" s="23">
        <v>762</v>
      </c>
      <c r="C21" s="23">
        <v>899</v>
      </c>
      <c r="D21" s="23">
        <v>1432</v>
      </c>
      <c r="E21" s="82">
        <f t="shared" si="0"/>
        <v>0.5928809788654059</v>
      </c>
    </row>
    <row r="22" spans="1:5" ht="21" customHeight="1">
      <c r="A22" s="20" t="s">
        <v>69</v>
      </c>
      <c r="B22" s="23">
        <v>24614</v>
      </c>
      <c r="C22" s="23">
        <v>31207</v>
      </c>
      <c r="D22" s="23">
        <v>19534</v>
      </c>
      <c r="E22" s="82">
        <f t="shared" si="0"/>
        <v>-0.3740506937546063</v>
      </c>
    </row>
    <row r="23" spans="1:5" ht="21" customHeight="1">
      <c r="A23" s="20" t="s">
        <v>70</v>
      </c>
      <c r="B23" s="23">
        <v>356</v>
      </c>
      <c r="C23" s="23">
        <v>311</v>
      </c>
      <c r="D23" s="23">
        <v>471</v>
      </c>
      <c r="E23" s="82">
        <f t="shared" si="0"/>
        <v>0.5144694533762058</v>
      </c>
    </row>
    <row r="24" spans="1:5" ht="21" customHeight="1">
      <c r="A24" s="20" t="s">
        <v>71</v>
      </c>
      <c r="B24" s="23"/>
      <c r="C24" s="23"/>
      <c r="D24" s="23"/>
      <c r="E24" s="82"/>
    </row>
    <row r="25" spans="1:5" ht="21" customHeight="1">
      <c r="A25" s="20" t="s">
        <v>72</v>
      </c>
      <c r="B25" s="23"/>
      <c r="C25" s="23">
        <v>1038</v>
      </c>
      <c r="D25" s="23">
        <v>1345</v>
      </c>
      <c r="E25" s="82"/>
    </row>
    <row r="26" spans="1:5" ht="21" customHeight="1">
      <c r="A26" s="20" t="s">
        <v>73</v>
      </c>
      <c r="B26" s="23">
        <v>1064</v>
      </c>
      <c r="C26" s="23">
        <v>2144</v>
      </c>
      <c r="D26" s="23">
        <v>10562</v>
      </c>
      <c r="E26" s="82">
        <f t="shared" si="0"/>
        <v>3.9263059701492535</v>
      </c>
    </row>
    <row r="27" spans="1:5" ht="21" customHeight="1">
      <c r="A27" s="20"/>
      <c r="B27" s="23"/>
      <c r="C27" s="23"/>
      <c r="D27" s="23"/>
      <c r="E27" s="82"/>
    </row>
    <row r="28" spans="1:5" ht="21" customHeight="1">
      <c r="A28" s="58" t="s">
        <v>74</v>
      </c>
      <c r="B28" s="24">
        <f>SUM(B4:B27)</f>
        <v>198219</v>
      </c>
      <c r="C28" s="24">
        <f>SUM(C4:C27)</f>
        <v>344740</v>
      </c>
      <c r="D28" s="24">
        <f>SUM(D4:D27)</f>
        <v>385990</v>
      </c>
      <c r="E28" s="59">
        <f t="shared" si="0"/>
        <v>0.11965539246968726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2.140625" style="0" bestFit="1" customWidth="1"/>
    <col min="2" max="2" width="10.421875" style="0" hidden="1" customWidth="1"/>
    <col min="3" max="4" width="14.140625" style="0" customWidth="1"/>
    <col min="5" max="5" width="15.8515625" style="0" customWidth="1"/>
  </cols>
  <sheetData>
    <row r="1" spans="1:5" ht="39.75" customHeight="1">
      <c r="A1" s="131" t="s">
        <v>562</v>
      </c>
      <c r="B1" s="132"/>
      <c r="C1" s="132"/>
      <c r="D1" s="132"/>
      <c r="E1" s="132"/>
    </row>
    <row r="2" ht="27" customHeight="1">
      <c r="E2" s="17" t="s">
        <v>50</v>
      </c>
    </row>
    <row r="3" spans="1:5" s="3" customFormat="1" ht="27">
      <c r="A3" s="4" t="s">
        <v>307</v>
      </c>
      <c r="B3" s="4" t="s">
        <v>310</v>
      </c>
      <c r="C3" s="53" t="s">
        <v>555</v>
      </c>
      <c r="D3" s="53" t="s">
        <v>560</v>
      </c>
      <c r="E3" s="4" t="s">
        <v>338</v>
      </c>
    </row>
    <row r="4" spans="1:5" ht="24.75" customHeight="1">
      <c r="A4" s="9" t="s">
        <v>330</v>
      </c>
      <c r="B4" s="8">
        <f>SUM(B5:B12)</f>
        <v>2953.6800000000003</v>
      </c>
      <c r="C4" s="8">
        <f>SUM(C5:C12)</f>
        <v>5008.030000000002</v>
      </c>
      <c r="D4" s="8">
        <f>SUM(D5:D12)</f>
        <v>5677.76</v>
      </c>
      <c r="E4" s="14">
        <f>D4/C4</f>
        <v>1.1337312276483964</v>
      </c>
    </row>
    <row r="5" spans="1:5" ht="24.75" customHeight="1">
      <c r="A5" s="5" t="s">
        <v>324</v>
      </c>
      <c r="B5" s="6">
        <v>825.82</v>
      </c>
      <c r="C5" s="6">
        <v>7.010000000000218</v>
      </c>
      <c r="D5" s="5">
        <v>1.84</v>
      </c>
      <c r="E5" s="15">
        <f>-D5/C5+1</f>
        <v>0.7375178316690524</v>
      </c>
    </row>
    <row r="6" spans="1:5" ht="24.75" customHeight="1">
      <c r="A6" s="5" t="s">
        <v>325</v>
      </c>
      <c r="B6" s="6">
        <v>105.59</v>
      </c>
      <c r="C6" s="6">
        <v>94.67000000000007</v>
      </c>
      <c r="D6" s="5">
        <v>576.97</v>
      </c>
      <c r="E6" s="15">
        <f aca="true" t="shared" si="0" ref="E6:E21">D6/C6</f>
        <v>6.094538924685746</v>
      </c>
    </row>
    <row r="7" spans="1:5" ht="24.75" customHeight="1">
      <c r="A7" s="5" t="s">
        <v>326</v>
      </c>
      <c r="B7" s="6">
        <v>654.22</v>
      </c>
      <c r="C7" s="6">
        <v>1105.5200000000004</v>
      </c>
      <c r="D7" s="5">
        <v>1584.76</v>
      </c>
      <c r="E7" s="15">
        <f t="shared" si="0"/>
        <v>1.4334973587090232</v>
      </c>
    </row>
    <row r="8" spans="1:5" ht="24.75" customHeight="1">
      <c r="A8" s="5" t="s">
        <v>327</v>
      </c>
      <c r="B8" s="6">
        <v>44.67</v>
      </c>
      <c r="C8" s="6">
        <v>0</v>
      </c>
      <c r="D8" s="5">
        <v>0</v>
      </c>
      <c r="E8" s="15" t="e">
        <f t="shared" si="0"/>
        <v>#DIV/0!</v>
      </c>
    </row>
    <row r="9" spans="1:5" ht="24.75" customHeight="1">
      <c r="A9" s="5" t="s">
        <v>328</v>
      </c>
      <c r="B9" s="6">
        <v>59.21</v>
      </c>
      <c r="C9" s="6">
        <v>0</v>
      </c>
      <c r="D9" s="5">
        <v>-5.35</v>
      </c>
      <c r="E9" s="15" t="e">
        <f t="shared" si="0"/>
        <v>#DIV/0!</v>
      </c>
    </row>
    <row r="10" spans="1:5" ht="24.75" customHeight="1">
      <c r="A10" s="5" t="s">
        <v>329</v>
      </c>
      <c r="B10" s="6">
        <v>922.59</v>
      </c>
      <c r="C10" s="6">
        <v>1200.3100000000002</v>
      </c>
      <c r="D10" s="5">
        <v>1279.03</v>
      </c>
      <c r="E10" s="15">
        <f t="shared" si="0"/>
        <v>1.0655830577100913</v>
      </c>
    </row>
    <row r="11" spans="1:5" ht="24.75" customHeight="1">
      <c r="A11" s="5" t="s">
        <v>572</v>
      </c>
      <c r="B11" s="6">
        <v>80.08</v>
      </c>
      <c r="C11" s="6">
        <v>1705.7900000000009</v>
      </c>
      <c r="D11" s="5">
        <v>2102.16</v>
      </c>
      <c r="E11" s="15">
        <f t="shared" si="0"/>
        <v>1.232367407476887</v>
      </c>
    </row>
    <row r="12" spans="1:5" ht="24.75" customHeight="1">
      <c r="A12" s="5" t="s">
        <v>570</v>
      </c>
      <c r="B12" s="6">
        <v>261.5</v>
      </c>
      <c r="C12" s="6">
        <v>894.7299999999996</v>
      </c>
      <c r="D12" s="5">
        <v>138.35</v>
      </c>
      <c r="E12" s="15">
        <f t="shared" si="0"/>
        <v>0.15462765303499387</v>
      </c>
    </row>
    <row r="13" spans="1:5" ht="24.75" customHeight="1">
      <c r="A13" s="7" t="s">
        <v>337</v>
      </c>
      <c r="B13" s="8">
        <f>SUM(B15:B21)</f>
        <v>9595.81</v>
      </c>
      <c r="C13" s="8">
        <f>SUM(C14:C21)</f>
        <v>26618.61</v>
      </c>
      <c r="D13" s="8">
        <f>SUM(D14:D21)</f>
        <v>32301.74</v>
      </c>
      <c r="E13" s="14">
        <f t="shared" si="0"/>
        <v>1.2135021325305868</v>
      </c>
    </row>
    <row r="14" spans="1:5" ht="24.75" customHeight="1">
      <c r="A14" s="5" t="s">
        <v>331</v>
      </c>
      <c r="B14" s="6">
        <v>2382.86</v>
      </c>
      <c r="C14" s="6">
        <v>520.2</v>
      </c>
      <c r="D14" s="5">
        <v>522.05</v>
      </c>
      <c r="E14" s="15">
        <f t="shared" si="0"/>
        <v>1.0035563244905803</v>
      </c>
    </row>
    <row r="15" spans="1:5" ht="24.75" customHeight="1">
      <c r="A15" s="5" t="s">
        <v>332</v>
      </c>
      <c r="B15" s="6">
        <v>119.32</v>
      </c>
      <c r="C15" s="6">
        <v>212.68</v>
      </c>
      <c r="D15" s="5">
        <v>789.65</v>
      </c>
      <c r="E15" s="15">
        <f t="shared" si="0"/>
        <v>3.7128549934173405</v>
      </c>
    </row>
    <row r="16" spans="1:5" ht="24.75" customHeight="1">
      <c r="A16" s="5" t="s">
        <v>333</v>
      </c>
      <c r="B16" s="6">
        <v>1648.9</v>
      </c>
      <c r="C16" s="6">
        <v>4029.23</v>
      </c>
      <c r="D16" s="5">
        <v>5614</v>
      </c>
      <c r="E16" s="15">
        <f t="shared" si="0"/>
        <v>1.393318326330341</v>
      </c>
    </row>
    <row r="17" spans="1:5" ht="24.75" customHeight="1">
      <c r="A17" s="5" t="s">
        <v>334</v>
      </c>
      <c r="B17" s="6">
        <v>86.67</v>
      </c>
      <c r="C17" s="6">
        <v>86.85</v>
      </c>
      <c r="D17" s="5">
        <v>86.85</v>
      </c>
      <c r="E17" s="15">
        <f t="shared" si="0"/>
        <v>1</v>
      </c>
    </row>
    <row r="18" spans="1:5" ht="24.75" customHeight="1">
      <c r="A18" s="5" t="s">
        <v>335</v>
      </c>
      <c r="B18" s="6">
        <v>107.61</v>
      </c>
      <c r="C18" s="6">
        <v>118.22</v>
      </c>
      <c r="D18" s="5">
        <v>118.22</v>
      </c>
      <c r="E18" s="15">
        <f t="shared" si="0"/>
        <v>1</v>
      </c>
    </row>
    <row r="19" spans="1:5" ht="24.75" customHeight="1">
      <c r="A19" s="5" t="s">
        <v>336</v>
      </c>
      <c r="B19" s="6">
        <v>5464.92</v>
      </c>
      <c r="C19" s="6">
        <v>8879.29</v>
      </c>
      <c r="D19" s="5">
        <v>10158.32</v>
      </c>
      <c r="E19" s="15">
        <f t="shared" si="0"/>
        <v>1.1440464271355029</v>
      </c>
    </row>
    <row r="20" spans="1:5" ht="24.75" customHeight="1">
      <c r="A20" s="87" t="s">
        <v>573</v>
      </c>
      <c r="B20" s="6">
        <v>164.69</v>
      </c>
      <c r="C20" s="6">
        <v>6646.95</v>
      </c>
      <c r="D20" s="5">
        <v>8749.11</v>
      </c>
      <c r="E20" s="15">
        <f t="shared" si="0"/>
        <v>1.3162593369891455</v>
      </c>
    </row>
    <row r="21" spans="1:5" ht="24.75" customHeight="1">
      <c r="A21" s="87" t="s">
        <v>571</v>
      </c>
      <c r="B21" s="6">
        <v>2003.7</v>
      </c>
      <c r="C21" s="6">
        <v>6125.19</v>
      </c>
      <c r="D21" s="5">
        <v>6263.54</v>
      </c>
      <c r="E21" s="15">
        <f t="shared" si="0"/>
        <v>1.022587054442393</v>
      </c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7" sqref="A3:E17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563</v>
      </c>
      <c r="B1" s="115"/>
      <c r="C1" s="115"/>
      <c r="D1" s="115"/>
      <c r="E1" s="115"/>
    </row>
    <row r="2" spans="1:5" ht="27" customHeight="1">
      <c r="A2" s="16"/>
      <c r="B2" s="16"/>
      <c r="C2" s="16"/>
      <c r="D2" s="16"/>
      <c r="E2" s="18" t="s">
        <v>50</v>
      </c>
    </row>
    <row r="3" spans="1:5" s="1" customFormat="1" ht="21" customHeight="1">
      <c r="A3" s="35" t="s">
        <v>0</v>
      </c>
      <c r="B3" s="35" t="s">
        <v>1</v>
      </c>
      <c r="C3" s="54" t="s">
        <v>564</v>
      </c>
      <c r="D3" s="54" t="s">
        <v>565</v>
      </c>
      <c r="E3" s="35" t="s">
        <v>49</v>
      </c>
    </row>
    <row r="4" spans="1:5" ht="21" customHeight="1">
      <c r="A4" s="55" t="s">
        <v>470</v>
      </c>
      <c r="B4" s="36"/>
      <c r="C4" s="36"/>
      <c r="D4" s="36"/>
      <c r="E4" s="56"/>
    </row>
    <row r="5" spans="1:5" ht="21" customHeight="1">
      <c r="A5" s="55" t="s">
        <v>472</v>
      </c>
      <c r="B5" s="37">
        <f>366+100</f>
        <v>466</v>
      </c>
      <c r="C5" s="37"/>
      <c r="D5" s="37"/>
      <c r="E5" s="57"/>
    </row>
    <row r="6" spans="1:5" ht="21" customHeight="1">
      <c r="A6" s="55" t="s">
        <v>471</v>
      </c>
      <c r="B6" s="37">
        <v>24</v>
      </c>
      <c r="C6" s="37"/>
      <c r="D6" s="37"/>
      <c r="E6" s="57"/>
    </row>
    <row r="7" spans="1:5" ht="21" customHeight="1">
      <c r="A7" s="55" t="s">
        <v>473</v>
      </c>
      <c r="B7" s="37">
        <v>417</v>
      </c>
      <c r="C7" s="37"/>
      <c r="D7" s="37"/>
      <c r="E7" s="57"/>
    </row>
    <row r="8" spans="1:5" ht="21" customHeight="1">
      <c r="A8" s="55"/>
      <c r="B8" s="37"/>
      <c r="C8" s="37"/>
      <c r="D8" s="37"/>
      <c r="E8" s="57"/>
    </row>
    <row r="9" spans="1:5" ht="21" customHeight="1">
      <c r="A9" s="55"/>
      <c r="B9" s="37">
        <f>3691+230</f>
        <v>3921</v>
      </c>
      <c r="C9" s="37"/>
      <c r="D9" s="37"/>
      <c r="E9" s="57"/>
    </row>
    <row r="10" spans="1:5" ht="21" customHeight="1">
      <c r="A10" s="55"/>
      <c r="B10" s="37">
        <v>102</v>
      </c>
      <c r="C10" s="37"/>
      <c r="D10" s="37"/>
      <c r="E10" s="57"/>
    </row>
    <row r="11" spans="1:5" ht="21" customHeight="1">
      <c r="A11" s="55"/>
      <c r="B11" s="37"/>
      <c r="C11" s="37"/>
      <c r="D11" s="37"/>
      <c r="E11" s="57"/>
    </row>
    <row r="12" spans="1:5" ht="21" customHeight="1">
      <c r="A12" s="55"/>
      <c r="B12" s="37"/>
      <c r="C12" s="37"/>
      <c r="D12" s="37"/>
      <c r="E12" s="57"/>
    </row>
    <row r="13" spans="1:5" ht="21" customHeight="1">
      <c r="A13" s="55"/>
      <c r="B13" s="37"/>
      <c r="C13" s="37"/>
      <c r="D13" s="37"/>
      <c r="E13" s="57"/>
    </row>
    <row r="14" spans="1:5" ht="21" customHeight="1">
      <c r="A14" s="55"/>
      <c r="B14" s="37">
        <v>968</v>
      </c>
      <c r="C14" s="37"/>
      <c r="D14" s="37"/>
      <c r="E14" s="57"/>
    </row>
    <row r="15" spans="1:5" ht="21" customHeight="1">
      <c r="A15" s="55"/>
      <c r="B15" s="37"/>
      <c r="C15" s="37"/>
      <c r="D15" s="37"/>
      <c r="E15" s="57"/>
    </row>
    <row r="16" spans="1:5" ht="21" customHeight="1">
      <c r="A16" s="55"/>
      <c r="B16" s="37"/>
      <c r="C16" s="37"/>
      <c r="D16" s="37"/>
      <c r="E16" s="57"/>
    </row>
    <row r="17" spans="1:5" ht="21" customHeight="1">
      <c r="A17" s="58" t="s">
        <v>474</v>
      </c>
      <c r="B17" s="24">
        <f>SUM(B5:B16)</f>
        <v>5898</v>
      </c>
      <c r="C17" s="24">
        <f>SUM(C5:C16)</f>
        <v>0</v>
      </c>
      <c r="D17" s="24">
        <f>SUM(D5:D16)</f>
        <v>0</v>
      </c>
      <c r="E17" s="59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566</v>
      </c>
      <c r="B1" s="115"/>
      <c r="C1" s="115"/>
      <c r="D1" s="115"/>
      <c r="E1" s="115"/>
    </row>
    <row r="2" spans="1:5" ht="27" customHeight="1">
      <c r="A2" s="16"/>
      <c r="B2" s="16"/>
      <c r="C2" s="16"/>
      <c r="D2" s="16"/>
      <c r="E2" s="18" t="s">
        <v>50</v>
      </c>
    </row>
    <row r="3" spans="1:5" s="1" customFormat="1" ht="21" customHeight="1">
      <c r="A3" s="35" t="s">
        <v>0</v>
      </c>
      <c r="B3" s="35" t="s">
        <v>1</v>
      </c>
      <c r="C3" s="54" t="s">
        <v>564</v>
      </c>
      <c r="D3" s="54" t="s">
        <v>565</v>
      </c>
      <c r="E3" s="35" t="s">
        <v>49</v>
      </c>
    </row>
    <row r="4" spans="1:5" ht="21" customHeight="1">
      <c r="A4" s="55" t="s">
        <v>475</v>
      </c>
      <c r="B4" s="36"/>
      <c r="C4" s="36"/>
      <c r="D4" s="36"/>
      <c r="E4" s="56"/>
    </row>
    <row r="5" spans="1:5" ht="21" customHeight="1">
      <c r="A5" s="55" t="s">
        <v>478</v>
      </c>
      <c r="B5" s="37">
        <f>366+100</f>
        <v>466</v>
      </c>
      <c r="C5" s="37"/>
      <c r="D5" s="37"/>
      <c r="E5" s="57"/>
    </row>
    <row r="6" spans="1:5" ht="21" customHeight="1">
      <c r="A6" s="55" t="s">
        <v>476</v>
      </c>
      <c r="B6" s="37">
        <v>24</v>
      </c>
      <c r="C6" s="37"/>
      <c r="D6" s="37"/>
      <c r="E6" s="57"/>
    </row>
    <row r="7" spans="1:5" ht="21" customHeight="1">
      <c r="A7" s="55" t="s">
        <v>479</v>
      </c>
      <c r="B7" s="37">
        <v>417</v>
      </c>
      <c r="C7" s="37"/>
      <c r="D7" s="37"/>
      <c r="E7" s="57"/>
    </row>
    <row r="8" spans="1:5" ht="21" customHeight="1">
      <c r="A8" s="55" t="s">
        <v>480</v>
      </c>
      <c r="B8" s="37"/>
      <c r="C8" s="37"/>
      <c r="D8" s="37"/>
      <c r="E8" s="57"/>
    </row>
    <row r="9" spans="1:5" ht="21" customHeight="1">
      <c r="A9" s="55" t="s">
        <v>481</v>
      </c>
      <c r="B9" s="37">
        <f>3691+230</f>
        <v>3921</v>
      </c>
      <c r="C9" s="37"/>
      <c r="D9" s="37"/>
      <c r="E9" s="57"/>
    </row>
    <row r="10" spans="1:5" ht="21" customHeight="1">
      <c r="A10" s="55" t="s">
        <v>482</v>
      </c>
      <c r="B10" s="37">
        <v>102</v>
      </c>
      <c r="C10" s="37"/>
      <c r="D10" s="37"/>
      <c r="E10" s="57"/>
    </row>
    <row r="11" spans="1:5" ht="21" customHeight="1">
      <c r="A11" s="55" t="s">
        <v>477</v>
      </c>
      <c r="B11" s="37"/>
      <c r="C11" s="37"/>
      <c r="D11" s="37"/>
      <c r="E11" s="57"/>
    </row>
    <row r="12" spans="1:5" ht="21" customHeight="1">
      <c r="A12" s="55" t="s">
        <v>483</v>
      </c>
      <c r="B12" s="37"/>
      <c r="C12" s="37"/>
      <c r="D12" s="37"/>
      <c r="E12" s="57"/>
    </row>
    <row r="13" spans="1:5" ht="21" customHeight="1">
      <c r="A13" s="55" t="s">
        <v>484</v>
      </c>
      <c r="B13" s="37"/>
      <c r="C13" s="37"/>
      <c r="D13" s="37"/>
      <c r="E13" s="57"/>
    </row>
    <row r="14" spans="1:5" ht="21" customHeight="1">
      <c r="A14" s="55"/>
      <c r="B14" s="37">
        <v>968</v>
      </c>
      <c r="C14" s="37"/>
      <c r="D14" s="37"/>
      <c r="E14" s="57"/>
    </row>
    <row r="15" spans="1:5" ht="21" customHeight="1">
      <c r="A15" s="55"/>
      <c r="B15" s="37"/>
      <c r="C15" s="37"/>
      <c r="D15" s="37"/>
      <c r="E15" s="57"/>
    </row>
    <row r="16" spans="1:5" ht="21" customHeight="1">
      <c r="A16" s="55"/>
      <c r="B16" s="37"/>
      <c r="C16" s="37"/>
      <c r="D16" s="37"/>
      <c r="E16" s="57"/>
    </row>
    <row r="17" spans="1:5" ht="21" customHeight="1">
      <c r="A17" s="58" t="s">
        <v>485</v>
      </c>
      <c r="B17" s="24">
        <f>SUM(B5:B16)</f>
        <v>5898</v>
      </c>
      <c r="C17" s="24">
        <f>SUM(C5:C16)</f>
        <v>0</v>
      </c>
      <c r="D17" s="24">
        <f>SUM(D5:D16)</f>
        <v>0</v>
      </c>
      <c r="E17" s="59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5">
      <selection activeCell="E25" sqref="A3:E25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534</v>
      </c>
      <c r="B1" s="115"/>
      <c r="C1" s="115"/>
      <c r="D1" s="115"/>
      <c r="E1" s="115"/>
    </row>
    <row r="2" ht="27" customHeight="1">
      <c r="E2" s="17" t="s">
        <v>50</v>
      </c>
    </row>
    <row r="3" spans="1:5" s="1" customFormat="1" ht="21" customHeight="1">
      <c r="A3" s="19" t="s">
        <v>0</v>
      </c>
      <c r="B3" s="49" t="s">
        <v>2</v>
      </c>
      <c r="C3" s="49" t="s">
        <v>464</v>
      </c>
      <c r="D3" s="49" t="s">
        <v>467</v>
      </c>
      <c r="E3" s="50" t="s">
        <v>49</v>
      </c>
    </row>
    <row r="4" spans="1:5" ht="21" customHeight="1">
      <c r="A4" s="20" t="s">
        <v>421</v>
      </c>
      <c r="B4" s="23"/>
      <c r="C4" s="23"/>
      <c r="D4" s="23"/>
      <c r="E4" s="79"/>
    </row>
    <row r="5" spans="1:5" ht="21" customHeight="1">
      <c r="A5" s="20" t="s">
        <v>422</v>
      </c>
      <c r="B5" s="23"/>
      <c r="C5" s="23"/>
      <c r="D5" s="23"/>
      <c r="E5" s="79"/>
    </row>
    <row r="6" spans="1:5" ht="21" customHeight="1">
      <c r="A6" s="20" t="s">
        <v>423</v>
      </c>
      <c r="B6" s="23"/>
      <c r="C6" s="23"/>
      <c r="D6" s="23"/>
      <c r="E6" s="79"/>
    </row>
    <row r="7" spans="1:5" ht="21" customHeight="1">
      <c r="A7" s="20" t="s">
        <v>424</v>
      </c>
      <c r="B7" s="23"/>
      <c r="C7" s="23"/>
      <c r="D7" s="23"/>
      <c r="E7" s="82"/>
    </row>
    <row r="8" spans="1:5" ht="21" customHeight="1">
      <c r="A8" s="20" t="s">
        <v>425</v>
      </c>
      <c r="B8" s="23">
        <v>2177</v>
      </c>
      <c r="C8" s="23">
        <v>2435</v>
      </c>
      <c r="D8" s="23">
        <v>908</v>
      </c>
      <c r="E8" s="82">
        <f>(D8/C8-1)</f>
        <v>-0.6271047227926079</v>
      </c>
    </row>
    <row r="9" spans="1:5" ht="21" customHeight="1">
      <c r="A9" s="20" t="s">
        <v>426</v>
      </c>
      <c r="B9" s="23"/>
      <c r="C9" s="23"/>
      <c r="D9" s="23"/>
      <c r="E9" s="82"/>
    </row>
    <row r="10" spans="1:5" ht="21" customHeight="1">
      <c r="A10" s="20" t="s">
        <v>427</v>
      </c>
      <c r="B10" s="23"/>
      <c r="C10" s="23"/>
      <c r="D10" s="23"/>
      <c r="E10" s="82"/>
    </row>
    <row r="11" spans="1:5" ht="21" customHeight="1">
      <c r="A11" s="20" t="s">
        <v>428</v>
      </c>
      <c r="B11" s="23"/>
      <c r="C11" s="23"/>
      <c r="D11" s="23"/>
      <c r="E11" s="82"/>
    </row>
    <row r="12" spans="1:5" ht="21" customHeight="1">
      <c r="A12" s="20" t="s">
        <v>429</v>
      </c>
      <c r="B12" s="23"/>
      <c r="C12" s="23"/>
      <c r="D12" s="23"/>
      <c r="E12" s="82"/>
    </row>
    <row r="13" spans="1:5" ht="21" customHeight="1">
      <c r="A13" s="20" t="s">
        <v>430</v>
      </c>
      <c r="B13" s="23"/>
      <c r="C13" s="23"/>
      <c r="D13" s="23"/>
      <c r="E13" s="82"/>
    </row>
    <row r="14" spans="1:5" ht="21" customHeight="1">
      <c r="A14" s="20" t="s">
        <v>431</v>
      </c>
      <c r="B14" s="23"/>
      <c r="C14" s="23"/>
      <c r="D14" s="23"/>
      <c r="E14" s="82"/>
    </row>
    <row r="15" spans="1:5" ht="21" customHeight="1">
      <c r="A15" s="20" t="s">
        <v>432</v>
      </c>
      <c r="B15" s="23"/>
      <c r="C15" s="23"/>
      <c r="D15" s="23"/>
      <c r="E15" s="82"/>
    </row>
    <row r="16" spans="1:5" ht="21" customHeight="1">
      <c r="A16" s="20" t="s">
        <v>433</v>
      </c>
      <c r="B16" s="23"/>
      <c r="C16" s="23"/>
      <c r="D16" s="23"/>
      <c r="E16" s="82"/>
    </row>
    <row r="17" spans="1:5" ht="21" customHeight="1">
      <c r="A17" s="20" t="s">
        <v>434</v>
      </c>
      <c r="B17" s="23"/>
      <c r="C17" s="23"/>
      <c r="D17" s="23"/>
      <c r="E17" s="82"/>
    </row>
    <row r="18" spans="1:5" ht="21" customHeight="1">
      <c r="A18" s="20" t="s">
        <v>435</v>
      </c>
      <c r="B18" s="23"/>
      <c r="C18" s="23"/>
      <c r="D18" s="23"/>
      <c r="E18" s="82"/>
    </row>
    <row r="19" spans="1:5" ht="21" customHeight="1">
      <c r="A19" s="20" t="s">
        <v>436</v>
      </c>
      <c r="B19" s="23"/>
      <c r="C19" s="23"/>
      <c r="D19" s="23"/>
      <c r="E19" s="82"/>
    </row>
    <row r="20" spans="1:5" ht="21" customHeight="1">
      <c r="A20" s="20" t="s">
        <v>437</v>
      </c>
      <c r="B20" s="23"/>
      <c r="C20" s="23"/>
      <c r="D20" s="23"/>
      <c r="E20" s="82"/>
    </row>
    <row r="21" spans="1:5" ht="21" customHeight="1">
      <c r="A21" s="20" t="s">
        <v>438</v>
      </c>
      <c r="B21" s="23"/>
      <c r="C21" s="23"/>
      <c r="D21" s="23"/>
      <c r="E21" s="82"/>
    </row>
    <row r="22" spans="1:5" ht="21" customHeight="1">
      <c r="A22" s="20"/>
      <c r="B22" s="23"/>
      <c r="C22" s="23"/>
      <c r="D22" s="23"/>
      <c r="E22" s="82"/>
    </row>
    <row r="23" spans="1:5" ht="21" customHeight="1">
      <c r="A23" s="20"/>
      <c r="B23" s="23"/>
      <c r="C23" s="23"/>
      <c r="D23" s="23"/>
      <c r="E23" s="82"/>
    </row>
    <row r="24" spans="1:5" ht="21" customHeight="1">
      <c r="A24" s="20"/>
      <c r="B24" s="23"/>
      <c r="C24" s="23"/>
      <c r="D24" s="23"/>
      <c r="E24" s="82"/>
    </row>
    <row r="25" spans="1:5" ht="21" customHeight="1">
      <c r="A25" s="58" t="s">
        <v>395</v>
      </c>
      <c r="B25" s="24">
        <f>SUM(B4:B21)</f>
        <v>2177</v>
      </c>
      <c r="C25" s="24">
        <f>SUM(C4:C21)</f>
        <v>2435</v>
      </c>
      <c r="D25" s="24">
        <f>SUM(D4:D21)</f>
        <v>908</v>
      </c>
      <c r="E25" s="59">
        <f>(D25/C25-1)</f>
        <v>-0.6271047227926079</v>
      </c>
    </row>
  </sheetData>
  <sheetProtection/>
  <mergeCells count="1">
    <mergeCell ref="A1:E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A3:E16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535</v>
      </c>
      <c r="B1" s="115"/>
      <c r="C1" s="115"/>
      <c r="D1" s="115"/>
      <c r="E1" s="115"/>
    </row>
    <row r="2" ht="27" customHeight="1">
      <c r="E2" s="17" t="s">
        <v>75</v>
      </c>
    </row>
    <row r="3" spans="1:5" s="1" customFormat="1" ht="21" customHeight="1">
      <c r="A3" s="19" t="s">
        <v>0</v>
      </c>
      <c r="B3" s="49" t="s">
        <v>2</v>
      </c>
      <c r="C3" s="49" t="s">
        <v>464</v>
      </c>
      <c r="D3" s="49" t="s">
        <v>467</v>
      </c>
      <c r="E3" s="50" t="s">
        <v>49</v>
      </c>
    </row>
    <row r="4" spans="1:5" ht="21" customHeight="1">
      <c r="A4" s="20" t="s">
        <v>76</v>
      </c>
      <c r="B4" s="23"/>
      <c r="C4" s="23"/>
      <c r="D4" s="23"/>
      <c r="E4" s="79"/>
    </row>
    <row r="5" spans="1:5" ht="21" customHeight="1">
      <c r="A5" s="20" t="s">
        <v>77</v>
      </c>
      <c r="B5" s="23">
        <v>400</v>
      </c>
      <c r="C5" s="23"/>
      <c r="D5" s="23"/>
      <c r="E5" s="82"/>
    </row>
    <row r="6" spans="1:5" ht="21" customHeight="1">
      <c r="A6" s="20" t="s">
        <v>78</v>
      </c>
      <c r="B6" s="23">
        <v>12</v>
      </c>
      <c r="C6" s="23"/>
      <c r="D6" s="37"/>
      <c r="E6" s="82"/>
    </row>
    <row r="7" spans="1:5" ht="21" customHeight="1">
      <c r="A7" s="20" t="s">
        <v>79</v>
      </c>
      <c r="B7" s="23">
        <v>334</v>
      </c>
      <c r="C7" s="23">
        <v>188</v>
      </c>
      <c r="D7" s="37">
        <v>115</v>
      </c>
      <c r="E7" s="82">
        <f>(D7/C7-1)</f>
        <v>-0.38829787234042556</v>
      </c>
    </row>
    <row r="8" spans="1:5" ht="21" customHeight="1">
      <c r="A8" s="20" t="s">
        <v>80</v>
      </c>
      <c r="B8" s="23"/>
      <c r="C8" s="23"/>
      <c r="D8" s="37"/>
      <c r="E8" s="82"/>
    </row>
    <row r="9" spans="1:5" ht="21" customHeight="1">
      <c r="A9" s="20" t="s">
        <v>81</v>
      </c>
      <c r="B9" s="23">
        <v>2135</v>
      </c>
      <c r="C9" s="23">
        <v>2538</v>
      </c>
      <c r="D9" s="37">
        <v>559</v>
      </c>
      <c r="E9" s="82">
        <f>(D9/C9-1)</f>
        <v>-0.7797478329393223</v>
      </c>
    </row>
    <row r="10" spans="1:5" ht="21" customHeight="1">
      <c r="A10" s="20" t="s">
        <v>82</v>
      </c>
      <c r="B10" s="23">
        <v>1</v>
      </c>
      <c r="C10" s="23">
        <v>24</v>
      </c>
      <c r="D10" s="37">
        <v>35</v>
      </c>
      <c r="E10" s="82">
        <f>(D10/C10-1)</f>
        <v>0.45833333333333326</v>
      </c>
    </row>
    <row r="11" spans="1:5" ht="21" customHeight="1">
      <c r="A11" s="20" t="s">
        <v>83</v>
      </c>
      <c r="B11" s="23"/>
      <c r="C11" s="23"/>
      <c r="D11" s="37"/>
      <c r="E11" s="82"/>
    </row>
    <row r="12" spans="1:5" ht="21" customHeight="1">
      <c r="A12" s="20" t="s">
        <v>84</v>
      </c>
      <c r="B12" s="23"/>
      <c r="C12" s="23"/>
      <c r="D12" s="37"/>
      <c r="E12" s="82"/>
    </row>
    <row r="13" spans="1:5" ht="21" customHeight="1">
      <c r="A13" s="20" t="s">
        <v>85</v>
      </c>
      <c r="B13" s="23"/>
      <c r="C13" s="23"/>
      <c r="D13" s="37"/>
      <c r="E13" s="82"/>
    </row>
    <row r="14" spans="1:5" ht="21" customHeight="1">
      <c r="A14" s="20" t="s">
        <v>86</v>
      </c>
      <c r="B14" s="23">
        <v>565</v>
      </c>
      <c r="C14" s="23">
        <v>231</v>
      </c>
      <c r="D14" s="37">
        <v>374</v>
      </c>
      <c r="E14" s="82">
        <f>(D14/C14-1)</f>
        <v>0.6190476190476191</v>
      </c>
    </row>
    <row r="15" spans="1:5" ht="21" customHeight="1">
      <c r="A15" s="20"/>
      <c r="B15" s="23"/>
      <c r="C15" s="23"/>
      <c r="D15" s="23"/>
      <c r="E15" s="82"/>
    </row>
    <row r="16" spans="1:5" ht="21" customHeight="1">
      <c r="A16" s="58" t="s">
        <v>398</v>
      </c>
      <c r="B16" s="24">
        <f>SUM(B4:B15)</f>
        <v>3447</v>
      </c>
      <c r="C16" s="24">
        <f>SUM(C4:C15)</f>
        <v>2981</v>
      </c>
      <c r="D16" s="24">
        <f>SUM(D4:D15)</f>
        <v>1083</v>
      </c>
      <c r="E16" s="59">
        <f>(D16/C16-1)</f>
        <v>-0.6366990942636699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D21" sqref="D21"/>
    </sheetView>
  </sheetViews>
  <sheetFormatPr defaultColWidth="9.140625" defaultRowHeight="15"/>
  <cols>
    <col min="1" max="1" width="42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536</v>
      </c>
      <c r="B1" s="115"/>
      <c r="C1" s="115"/>
      <c r="D1" s="115"/>
      <c r="E1" s="115"/>
    </row>
    <row r="2" ht="27" customHeight="1">
      <c r="E2" s="17" t="s">
        <v>75</v>
      </c>
    </row>
    <row r="3" spans="1:5" s="1" customFormat="1" ht="21" customHeight="1">
      <c r="A3" s="19" t="s">
        <v>0</v>
      </c>
      <c r="B3" s="49" t="s">
        <v>1</v>
      </c>
      <c r="C3" s="49" t="s">
        <v>467</v>
      </c>
      <c r="D3" s="49" t="s">
        <v>537</v>
      </c>
      <c r="E3" s="50" t="s">
        <v>49</v>
      </c>
    </row>
    <row r="4" spans="1:5" s="1" customFormat="1" ht="21" customHeight="1">
      <c r="A4" s="80" t="s">
        <v>5</v>
      </c>
      <c r="B4" s="39">
        <f>SUM(B5:B19)</f>
        <v>18448</v>
      </c>
      <c r="C4" s="39">
        <f>SUM(C5:C19)</f>
        <v>26261</v>
      </c>
      <c r="D4" s="39">
        <f>SUM(D5:D19)</f>
        <v>29588</v>
      </c>
      <c r="E4" s="81">
        <f>(D4/C4-1)</f>
        <v>0.12668976809717836</v>
      </c>
    </row>
    <row r="5" spans="1:5" ht="21" customHeight="1">
      <c r="A5" s="63" t="s">
        <v>468</v>
      </c>
      <c r="B5" s="23">
        <v>2964</v>
      </c>
      <c r="C5" s="23">
        <v>13666</v>
      </c>
      <c r="D5" s="23">
        <v>16168</v>
      </c>
      <c r="E5" s="82">
        <f aca="true" t="shared" si="0" ref="E5:E29">(D5/C5-1)</f>
        <v>0.18308210156593008</v>
      </c>
    </row>
    <row r="6" spans="1:5" ht="21" customHeight="1">
      <c r="A6" s="20" t="s">
        <v>8</v>
      </c>
      <c r="B6" s="23">
        <v>8983</v>
      </c>
      <c r="C6" s="23">
        <v>1</v>
      </c>
      <c r="D6" s="23"/>
      <c r="E6" s="82">
        <f t="shared" si="0"/>
        <v>-1</v>
      </c>
    </row>
    <row r="7" spans="1:5" ht="21" customHeight="1">
      <c r="A7" s="20" t="s">
        <v>10</v>
      </c>
      <c r="B7" s="23">
        <v>1130</v>
      </c>
      <c r="C7" s="23">
        <f>678+1514</f>
        <v>2192</v>
      </c>
      <c r="D7" s="23">
        <v>2700</v>
      </c>
      <c r="E7" s="82">
        <f t="shared" si="0"/>
        <v>0.23175182481751833</v>
      </c>
    </row>
    <row r="8" spans="1:5" ht="21" customHeight="1">
      <c r="A8" s="20" t="s">
        <v>12</v>
      </c>
      <c r="B8" s="23"/>
      <c r="C8" s="23"/>
      <c r="D8" s="23"/>
      <c r="E8" s="82"/>
    </row>
    <row r="9" spans="1:5" ht="21" customHeight="1">
      <c r="A9" s="20" t="s">
        <v>14</v>
      </c>
      <c r="B9" s="23">
        <v>865</v>
      </c>
      <c r="C9" s="23">
        <v>2202</v>
      </c>
      <c r="D9" s="23">
        <v>3000</v>
      </c>
      <c r="E9" s="82">
        <f t="shared" si="0"/>
        <v>0.36239782016348765</v>
      </c>
    </row>
    <row r="10" spans="1:5" ht="21" customHeight="1">
      <c r="A10" s="20" t="s">
        <v>16</v>
      </c>
      <c r="B10" s="23">
        <v>2355</v>
      </c>
      <c r="C10" s="23">
        <v>2590</v>
      </c>
      <c r="D10" s="23">
        <v>3100</v>
      </c>
      <c r="E10" s="82">
        <f t="shared" si="0"/>
        <v>0.19691119691119696</v>
      </c>
    </row>
    <row r="11" spans="1:5" ht="21" customHeight="1">
      <c r="A11" s="20" t="s">
        <v>18</v>
      </c>
      <c r="B11" s="23"/>
      <c r="C11" s="23"/>
      <c r="D11" s="23"/>
      <c r="E11" s="82"/>
    </row>
    <row r="12" spans="1:5" ht="21" customHeight="1">
      <c r="A12" s="20" t="s">
        <v>20</v>
      </c>
      <c r="B12" s="23">
        <v>960</v>
      </c>
      <c r="C12" s="23">
        <v>1032</v>
      </c>
      <c r="D12" s="23">
        <v>1500</v>
      </c>
      <c r="E12" s="82">
        <f t="shared" si="0"/>
        <v>0.4534883720930232</v>
      </c>
    </row>
    <row r="13" spans="1:5" ht="21" customHeight="1">
      <c r="A13" s="20" t="s">
        <v>22</v>
      </c>
      <c r="B13" s="23">
        <v>57</v>
      </c>
      <c r="C13" s="23">
        <v>283</v>
      </c>
      <c r="D13" s="23">
        <v>350</v>
      </c>
      <c r="E13" s="82">
        <f t="shared" si="0"/>
        <v>0.23674911660777376</v>
      </c>
    </row>
    <row r="14" spans="1:5" ht="21" customHeight="1">
      <c r="A14" s="20" t="s">
        <v>24</v>
      </c>
      <c r="B14" s="23">
        <v>255</v>
      </c>
      <c r="C14" s="23">
        <v>359</v>
      </c>
      <c r="D14" s="23">
        <v>450</v>
      </c>
      <c r="E14" s="82">
        <f t="shared" si="0"/>
        <v>0.2534818941504178</v>
      </c>
    </row>
    <row r="15" spans="1:5" ht="21" customHeight="1">
      <c r="A15" s="20" t="s">
        <v>26</v>
      </c>
      <c r="B15" s="23">
        <v>23</v>
      </c>
      <c r="C15" s="23">
        <v>151</v>
      </c>
      <c r="D15" s="23">
        <v>200</v>
      </c>
      <c r="E15" s="82">
        <f t="shared" si="0"/>
        <v>0.32450331125827825</v>
      </c>
    </row>
    <row r="16" spans="1:5" ht="21" customHeight="1">
      <c r="A16" s="20" t="s">
        <v>28</v>
      </c>
      <c r="B16" s="23">
        <v>162</v>
      </c>
      <c r="C16" s="23">
        <v>238</v>
      </c>
      <c r="D16" s="23">
        <v>300</v>
      </c>
      <c r="E16" s="82">
        <f t="shared" si="0"/>
        <v>0.26050420168067223</v>
      </c>
    </row>
    <row r="17" spans="1:5" ht="21" customHeight="1">
      <c r="A17" s="20" t="s">
        <v>30</v>
      </c>
      <c r="B17" s="23">
        <v>195</v>
      </c>
      <c r="C17" s="23">
        <v>371</v>
      </c>
      <c r="D17" s="23">
        <v>500</v>
      </c>
      <c r="E17" s="82">
        <f t="shared" si="0"/>
        <v>0.34770889487870615</v>
      </c>
    </row>
    <row r="18" spans="1:5" ht="21" customHeight="1">
      <c r="A18" s="20" t="s">
        <v>32</v>
      </c>
      <c r="B18" s="23">
        <v>266</v>
      </c>
      <c r="C18" s="23">
        <v>2997</v>
      </c>
      <c r="D18" s="23">
        <v>1100</v>
      </c>
      <c r="E18" s="82">
        <f t="shared" si="0"/>
        <v>-0.6329662996329664</v>
      </c>
    </row>
    <row r="19" spans="1:5" ht="21" customHeight="1">
      <c r="A19" s="20" t="s">
        <v>34</v>
      </c>
      <c r="B19" s="23">
        <v>233</v>
      </c>
      <c r="C19" s="23">
        <v>179</v>
      </c>
      <c r="D19" s="23">
        <v>220</v>
      </c>
      <c r="E19" s="82">
        <f t="shared" si="0"/>
        <v>0.22905027932960897</v>
      </c>
    </row>
    <row r="20" spans="1:5" ht="21" customHeight="1">
      <c r="A20" s="20"/>
      <c r="B20" s="23"/>
      <c r="C20" s="23"/>
      <c r="D20" s="23"/>
      <c r="E20" s="82"/>
    </row>
    <row r="21" spans="1:5" ht="21" customHeight="1">
      <c r="A21" s="83" t="s">
        <v>394</v>
      </c>
      <c r="B21" s="22">
        <f>SUM(B22:B27)</f>
        <v>4566</v>
      </c>
      <c r="C21" s="22">
        <f>SUM(C22:C27)</f>
        <v>7637</v>
      </c>
      <c r="D21" s="22">
        <f>SUM(D22:D27)</f>
        <v>7700</v>
      </c>
      <c r="E21" s="84">
        <f t="shared" si="0"/>
        <v>0.008249312557286892</v>
      </c>
    </row>
    <row r="22" spans="1:5" ht="21" customHeight="1">
      <c r="A22" s="20" t="s">
        <v>38</v>
      </c>
      <c r="B22" s="23">
        <v>549</v>
      </c>
      <c r="C22" s="23">
        <v>1254</v>
      </c>
      <c r="D22" s="23">
        <v>1500</v>
      </c>
      <c r="E22" s="82">
        <f t="shared" si="0"/>
        <v>0.19617224880382778</v>
      </c>
    </row>
    <row r="23" spans="1:5" ht="21" customHeight="1">
      <c r="A23" s="20" t="s">
        <v>40</v>
      </c>
      <c r="B23" s="23">
        <v>2185</v>
      </c>
      <c r="C23" s="23">
        <v>3240</v>
      </c>
      <c r="D23" s="23">
        <v>3000</v>
      </c>
      <c r="E23" s="82">
        <f t="shared" si="0"/>
        <v>-0.07407407407407407</v>
      </c>
    </row>
    <row r="24" spans="1:5" ht="21" customHeight="1">
      <c r="A24" s="20" t="s">
        <v>42</v>
      </c>
      <c r="B24" s="23">
        <v>597</v>
      </c>
      <c r="C24" s="23">
        <v>654</v>
      </c>
      <c r="D24" s="23">
        <v>1000</v>
      </c>
      <c r="E24" s="82">
        <f t="shared" si="0"/>
        <v>0.5290519877675841</v>
      </c>
    </row>
    <row r="25" spans="1:5" ht="21" customHeight="1">
      <c r="A25" s="20" t="s">
        <v>44</v>
      </c>
      <c r="B25" s="23"/>
      <c r="C25" s="23"/>
      <c r="D25" s="23"/>
      <c r="E25" s="82"/>
    </row>
    <row r="26" spans="1:5" ht="21" customHeight="1">
      <c r="A26" s="20" t="s">
        <v>45</v>
      </c>
      <c r="B26" s="23">
        <v>1235</v>
      </c>
      <c r="C26" s="23">
        <v>2489</v>
      </c>
      <c r="D26" s="23">
        <v>2200</v>
      </c>
      <c r="E26" s="82">
        <f t="shared" si="0"/>
        <v>-0.11611088790678992</v>
      </c>
    </row>
    <row r="27" spans="1:5" ht="21" customHeight="1">
      <c r="A27" s="20" t="s">
        <v>47</v>
      </c>
      <c r="B27" s="23"/>
      <c r="C27" s="23"/>
      <c r="D27" s="23"/>
      <c r="E27" s="82" t="e">
        <f t="shared" si="0"/>
        <v>#DIV/0!</v>
      </c>
    </row>
    <row r="28" spans="1:5" ht="21" customHeight="1">
      <c r="A28" s="20"/>
      <c r="B28" s="23"/>
      <c r="C28" s="23"/>
      <c r="D28" s="23"/>
      <c r="E28" s="82"/>
    </row>
    <row r="29" spans="1:5" ht="21" customHeight="1">
      <c r="A29" s="58" t="s">
        <v>48</v>
      </c>
      <c r="B29" s="24">
        <f>B4+B21</f>
        <v>23014</v>
      </c>
      <c r="C29" s="24">
        <f>C4+C21</f>
        <v>33898</v>
      </c>
      <c r="D29" s="24">
        <f>D4+D21</f>
        <v>37288</v>
      </c>
      <c r="E29" s="59">
        <f t="shared" si="0"/>
        <v>0.1000059000531004</v>
      </c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8.28125" style="0" bestFit="1" customWidth="1"/>
    <col min="2" max="2" width="16.421875" style="0" hidden="1" customWidth="1"/>
    <col min="3" max="4" width="15.140625" style="0" customWidth="1"/>
    <col min="5" max="5" width="15.00390625" style="0" customWidth="1"/>
  </cols>
  <sheetData>
    <row r="1" spans="1:5" ht="39.75" customHeight="1">
      <c r="A1" s="116" t="s">
        <v>538</v>
      </c>
      <c r="B1" s="116"/>
      <c r="C1" s="116"/>
      <c r="D1" s="116"/>
      <c r="E1" s="116"/>
    </row>
    <row r="2" ht="27" customHeight="1">
      <c r="E2" s="17" t="s">
        <v>50</v>
      </c>
    </row>
    <row r="3" spans="1:5" s="1" customFormat="1" ht="21" customHeight="1">
      <c r="A3" s="19" t="s">
        <v>0</v>
      </c>
      <c r="B3" s="49" t="s">
        <v>1</v>
      </c>
      <c r="C3" s="49" t="s">
        <v>467</v>
      </c>
      <c r="D3" s="49" t="s">
        <v>537</v>
      </c>
      <c r="E3" s="38" t="s">
        <v>49</v>
      </c>
    </row>
    <row r="4" spans="1:5" ht="21" customHeight="1">
      <c r="A4" s="20" t="s">
        <v>51</v>
      </c>
      <c r="B4" s="23">
        <v>33979</v>
      </c>
      <c r="C4" s="23">
        <v>45804</v>
      </c>
      <c r="D4" s="23">
        <f>38200</f>
        <v>38200</v>
      </c>
      <c r="E4" s="57">
        <f>D4/C4-1</f>
        <v>-0.1660117020347568</v>
      </c>
    </row>
    <row r="5" spans="1:5" ht="21" customHeight="1">
      <c r="A5" s="20" t="s">
        <v>52</v>
      </c>
      <c r="B5" s="23"/>
      <c r="C5" s="23"/>
      <c r="D5" s="23"/>
      <c r="E5" s="57"/>
    </row>
    <row r="6" spans="1:5" ht="21" customHeight="1">
      <c r="A6" s="20" t="s">
        <v>53</v>
      </c>
      <c r="B6" s="23"/>
      <c r="C6" s="23"/>
      <c r="D6" s="23"/>
      <c r="E6" s="57"/>
    </row>
    <row r="7" spans="1:5" ht="21" customHeight="1">
      <c r="A7" s="20" t="s">
        <v>54</v>
      </c>
      <c r="B7" s="23">
        <v>15112</v>
      </c>
      <c r="C7" s="23">
        <v>60185</v>
      </c>
      <c r="D7" s="23">
        <v>67200</v>
      </c>
      <c r="E7" s="57">
        <f aca="true" t="shared" si="0" ref="E7:E28">D7/C7-1</f>
        <v>0.11655728171471291</v>
      </c>
    </row>
    <row r="8" spans="1:5" ht="21" customHeight="1">
      <c r="A8" s="20" t="s">
        <v>55</v>
      </c>
      <c r="B8" s="23">
        <v>67182</v>
      </c>
      <c r="C8" s="23">
        <v>78703</v>
      </c>
      <c r="D8" s="23">
        <v>119380</v>
      </c>
      <c r="E8" s="57">
        <f t="shared" si="0"/>
        <v>0.5168417976443083</v>
      </c>
    </row>
    <row r="9" spans="1:5" ht="21" customHeight="1">
      <c r="A9" s="20" t="s">
        <v>56</v>
      </c>
      <c r="B9" s="23">
        <v>205</v>
      </c>
      <c r="C9" s="23">
        <v>351</v>
      </c>
      <c r="D9" s="23">
        <v>450</v>
      </c>
      <c r="E9" s="57">
        <f t="shared" si="0"/>
        <v>0.28205128205128216</v>
      </c>
    </row>
    <row r="10" spans="1:5" ht="21" customHeight="1">
      <c r="A10" s="20" t="s">
        <v>57</v>
      </c>
      <c r="B10" s="23">
        <v>3043</v>
      </c>
      <c r="C10" s="23">
        <v>3850</v>
      </c>
      <c r="D10" s="23">
        <v>4603</v>
      </c>
      <c r="E10" s="57">
        <f t="shared" si="0"/>
        <v>0.19558441558441553</v>
      </c>
    </row>
    <row r="11" spans="1:5" ht="21" customHeight="1">
      <c r="A11" s="20" t="s">
        <v>58</v>
      </c>
      <c r="B11" s="23">
        <v>13441</v>
      </c>
      <c r="C11" s="23">
        <v>56081</v>
      </c>
      <c r="D11" s="23">
        <v>41200</v>
      </c>
      <c r="E11" s="57">
        <f t="shared" si="0"/>
        <v>-0.26534833544337655</v>
      </c>
    </row>
    <row r="12" spans="1:5" ht="21" customHeight="1">
      <c r="A12" s="20" t="s">
        <v>59</v>
      </c>
      <c r="B12" s="23">
        <v>20102</v>
      </c>
      <c r="C12" s="23">
        <v>18908</v>
      </c>
      <c r="D12" s="23">
        <v>23600</v>
      </c>
      <c r="E12" s="57">
        <f t="shared" si="0"/>
        <v>0.24814893166913476</v>
      </c>
    </row>
    <row r="13" spans="1:5" ht="21" customHeight="1">
      <c r="A13" s="20" t="s">
        <v>60</v>
      </c>
      <c r="B13" s="23">
        <v>5254</v>
      </c>
      <c r="C13" s="23">
        <v>2549</v>
      </c>
      <c r="D13" s="23">
        <v>2760</v>
      </c>
      <c r="E13" s="57">
        <f t="shared" si="0"/>
        <v>0.08277755982738322</v>
      </c>
    </row>
    <row r="14" spans="1:5" ht="21" customHeight="1">
      <c r="A14" s="20" t="s">
        <v>61</v>
      </c>
      <c r="B14" s="23">
        <v>3135</v>
      </c>
      <c r="C14" s="23">
        <v>5582</v>
      </c>
      <c r="D14" s="23">
        <v>6460</v>
      </c>
      <c r="E14" s="57">
        <f t="shared" si="0"/>
        <v>0.15729129344321024</v>
      </c>
    </row>
    <row r="15" spans="1:5" ht="21" customHeight="1">
      <c r="A15" s="20" t="s">
        <v>62</v>
      </c>
      <c r="B15" s="23">
        <v>43831</v>
      </c>
      <c r="C15" s="23">
        <v>61765</v>
      </c>
      <c r="D15" s="23">
        <v>67280</v>
      </c>
      <c r="E15" s="57">
        <f t="shared" si="0"/>
        <v>0.08929005099975718</v>
      </c>
    </row>
    <row r="16" spans="1:5" ht="21" customHeight="1">
      <c r="A16" s="20" t="s">
        <v>63</v>
      </c>
      <c r="B16" s="23">
        <v>1633</v>
      </c>
      <c r="C16" s="23">
        <v>13216</v>
      </c>
      <c r="D16" s="23">
        <v>13600</v>
      </c>
      <c r="E16" s="57">
        <f t="shared" si="0"/>
        <v>0.029055690072639306</v>
      </c>
    </row>
    <row r="17" spans="1:5" ht="21" customHeight="1">
      <c r="A17" s="20" t="s">
        <v>64</v>
      </c>
      <c r="B17" s="23">
        <v>304</v>
      </c>
      <c r="C17" s="23">
        <v>2355</v>
      </c>
      <c r="D17" s="23">
        <v>2700</v>
      </c>
      <c r="E17" s="57">
        <f t="shared" si="0"/>
        <v>0.14649681528662417</v>
      </c>
    </row>
    <row r="18" spans="1:5" ht="21" customHeight="1">
      <c r="A18" s="20" t="s">
        <v>65</v>
      </c>
      <c r="B18" s="23">
        <v>1095</v>
      </c>
      <c r="C18" s="23">
        <v>2189</v>
      </c>
      <c r="D18" s="23">
        <v>2560</v>
      </c>
      <c r="E18" s="57">
        <f t="shared" si="0"/>
        <v>0.16948378254910912</v>
      </c>
    </row>
    <row r="19" spans="1:5" ht="21" customHeight="1">
      <c r="A19" s="20" t="s">
        <v>66</v>
      </c>
      <c r="B19" s="23"/>
      <c r="C19" s="23"/>
      <c r="D19" s="23"/>
      <c r="E19" s="57"/>
    </row>
    <row r="20" spans="1:5" ht="21" customHeight="1">
      <c r="A20" s="20" t="s">
        <v>67</v>
      </c>
      <c r="B20" s="23"/>
      <c r="C20" s="23"/>
      <c r="D20" s="23"/>
      <c r="E20" s="57"/>
    </row>
    <row r="21" spans="1:5" ht="21" customHeight="1">
      <c r="A21" s="20" t="s">
        <v>68</v>
      </c>
      <c r="B21" s="23">
        <v>1657</v>
      </c>
      <c r="C21" s="23">
        <v>4445</v>
      </c>
      <c r="D21" s="23">
        <v>1760</v>
      </c>
      <c r="E21" s="57">
        <f t="shared" si="0"/>
        <v>-0.6040494938132733</v>
      </c>
    </row>
    <row r="22" spans="1:5" ht="21" customHeight="1">
      <c r="A22" s="20" t="s">
        <v>69</v>
      </c>
      <c r="B22" s="23">
        <v>25438</v>
      </c>
      <c r="C22" s="23">
        <v>29124</v>
      </c>
      <c r="D22" s="23">
        <v>20800</v>
      </c>
      <c r="E22" s="57">
        <f t="shared" si="0"/>
        <v>-0.2858123884081857</v>
      </c>
    </row>
    <row r="23" spans="1:5" ht="21" customHeight="1">
      <c r="A23" s="20" t="s">
        <v>70</v>
      </c>
      <c r="B23" s="23">
        <v>432</v>
      </c>
      <c r="C23" s="23">
        <v>460</v>
      </c>
      <c r="D23" s="23">
        <v>943</v>
      </c>
      <c r="E23" s="57">
        <f t="shared" si="0"/>
        <v>1.0499999999999998</v>
      </c>
    </row>
    <row r="24" spans="1:5" ht="21" customHeight="1">
      <c r="A24" s="20" t="s">
        <v>71</v>
      </c>
      <c r="B24" s="23"/>
      <c r="C24" s="23"/>
      <c r="D24" s="23"/>
      <c r="E24" s="57"/>
    </row>
    <row r="25" spans="1:5" ht="21" customHeight="1">
      <c r="A25" s="20" t="s">
        <v>72</v>
      </c>
      <c r="B25" s="23"/>
      <c r="C25" s="23">
        <v>2149</v>
      </c>
      <c r="D25" s="23">
        <v>9094</v>
      </c>
      <c r="E25" s="57">
        <f t="shared" si="0"/>
        <v>3.231735691019079</v>
      </c>
    </row>
    <row r="26" spans="1:5" ht="21" customHeight="1">
      <c r="A26" s="20" t="s">
        <v>73</v>
      </c>
      <c r="B26" s="23">
        <v>1101</v>
      </c>
      <c r="C26" s="23">
        <v>11662</v>
      </c>
      <c r="D26" s="23">
        <v>2000</v>
      </c>
      <c r="E26" s="57">
        <f t="shared" si="0"/>
        <v>-0.8285028297033099</v>
      </c>
    </row>
    <row r="27" spans="1:5" ht="21" customHeight="1">
      <c r="A27" s="20"/>
      <c r="B27" s="23"/>
      <c r="C27" s="23"/>
      <c r="D27" s="23"/>
      <c r="E27" s="57"/>
    </row>
    <row r="28" spans="1:5" ht="21" customHeight="1">
      <c r="A28" s="58" t="s">
        <v>74</v>
      </c>
      <c r="B28" s="24">
        <f>SUM(B4:B27)</f>
        <v>236944</v>
      </c>
      <c r="C28" s="24">
        <f>SUM(C4:C27)</f>
        <v>399378</v>
      </c>
      <c r="D28" s="24">
        <f>SUM(D4:D27)</f>
        <v>424590</v>
      </c>
      <c r="E28" s="59">
        <f t="shared" si="0"/>
        <v>0.06312816429547952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2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539</v>
      </c>
      <c r="B1" s="115"/>
      <c r="C1" s="115"/>
      <c r="D1" s="115"/>
      <c r="E1" s="115"/>
    </row>
    <row r="2" ht="27" customHeight="1">
      <c r="E2" s="17" t="s">
        <v>50</v>
      </c>
    </row>
    <row r="3" spans="1:5" s="1" customFormat="1" ht="21" customHeight="1">
      <c r="A3" s="19" t="s">
        <v>0</v>
      </c>
      <c r="B3" s="19" t="s">
        <v>1</v>
      </c>
      <c r="C3" s="49" t="s">
        <v>467</v>
      </c>
      <c r="D3" s="49" t="s">
        <v>537</v>
      </c>
      <c r="E3" s="50" t="s">
        <v>49</v>
      </c>
    </row>
    <row r="4" spans="1:5" ht="21" customHeight="1">
      <c r="A4" s="20" t="s">
        <v>421</v>
      </c>
      <c r="B4" s="20"/>
      <c r="C4" s="23"/>
      <c r="D4" s="23"/>
      <c r="E4" s="79"/>
    </row>
    <row r="5" spans="1:5" ht="21" customHeight="1">
      <c r="A5" s="20" t="s">
        <v>422</v>
      </c>
      <c r="B5" s="20"/>
      <c r="C5" s="23"/>
      <c r="D5" s="23"/>
      <c r="E5" s="79"/>
    </row>
    <row r="6" spans="1:5" ht="21" customHeight="1">
      <c r="A6" s="20" t="s">
        <v>423</v>
      </c>
      <c r="B6" s="20"/>
      <c r="C6" s="23"/>
      <c r="D6" s="23"/>
      <c r="E6" s="79"/>
    </row>
    <row r="7" spans="1:5" ht="21" customHeight="1">
      <c r="A7" s="20" t="s">
        <v>424</v>
      </c>
      <c r="B7" s="20"/>
      <c r="C7" s="23"/>
      <c r="D7" s="23"/>
      <c r="E7" s="57"/>
    </row>
    <row r="8" spans="1:5" ht="21" customHeight="1">
      <c r="A8" s="20" t="s">
        <v>425</v>
      </c>
      <c r="B8" s="20">
        <v>1225</v>
      </c>
      <c r="C8" s="23">
        <v>908</v>
      </c>
      <c r="D8" s="23">
        <v>1800</v>
      </c>
      <c r="E8" s="57">
        <f>D8/C8-1</f>
        <v>0.9823788546255507</v>
      </c>
    </row>
    <row r="9" spans="1:5" ht="21" customHeight="1">
      <c r="A9" s="20" t="s">
        <v>426</v>
      </c>
      <c r="B9" s="20">
        <v>2</v>
      </c>
      <c r="C9" s="23"/>
      <c r="D9" s="23"/>
      <c r="E9" s="57"/>
    </row>
    <row r="10" spans="1:5" ht="21" customHeight="1">
      <c r="A10" s="20" t="s">
        <v>427</v>
      </c>
      <c r="B10" s="20"/>
      <c r="C10" s="23"/>
      <c r="D10" s="23"/>
      <c r="E10" s="57"/>
    </row>
    <row r="11" spans="1:5" ht="21" customHeight="1">
      <c r="A11" s="20" t="s">
        <v>428</v>
      </c>
      <c r="B11" s="20">
        <v>17</v>
      </c>
      <c r="C11" s="23"/>
      <c r="D11" s="23"/>
      <c r="E11" s="57"/>
    </row>
    <row r="12" spans="1:5" ht="21" customHeight="1">
      <c r="A12" s="20" t="s">
        <v>429</v>
      </c>
      <c r="B12" s="20"/>
      <c r="C12" s="23"/>
      <c r="D12" s="23"/>
      <c r="E12" s="79"/>
    </row>
    <row r="13" spans="1:5" ht="21" customHeight="1">
      <c r="A13" s="20" t="s">
        <v>430</v>
      </c>
      <c r="B13" s="20"/>
      <c r="C13" s="23"/>
      <c r="D13" s="23"/>
      <c r="E13" s="79"/>
    </row>
    <row r="14" spans="1:5" ht="21" customHeight="1">
      <c r="A14" s="20" t="s">
        <v>431</v>
      </c>
      <c r="B14" s="20"/>
      <c r="C14" s="23"/>
      <c r="D14" s="23"/>
      <c r="E14" s="79"/>
    </row>
    <row r="15" spans="1:5" ht="21" customHeight="1">
      <c r="A15" s="20" t="s">
        <v>432</v>
      </c>
      <c r="B15" s="20"/>
      <c r="C15" s="23"/>
      <c r="D15" s="23"/>
      <c r="E15" s="79"/>
    </row>
    <row r="16" spans="1:5" ht="21" customHeight="1">
      <c r="A16" s="20" t="s">
        <v>433</v>
      </c>
      <c r="B16" s="20"/>
      <c r="C16" s="23"/>
      <c r="D16" s="23"/>
      <c r="E16" s="79"/>
    </row>
    <row r="17" spans="1:5" ht="21" customHeight="1">
      <c r="A17" s="20" t="s">
        <v>434</v>
      </c>
      <c r="B17" s="20"/>
      <c r="C17" s="23"/>
      <c r="D17" s="23"/>
      <c r="E17" s="79"/>
    </row>
    <row r="18" spans="1:5" ht="21" customHeight="1">
      <c r="A18" s="20" t="s">
        <v>435</v>
      </c>
      <c r="B18" s="20"/>
      <c r="C18" s="23"/>
      <c r="D18" s="23"/>
      <c r="E18" s="79"/>
    </row>
    <row r="19" spans="1:5" ht="21" customHeight="1">
      <c r="A19" s="20" t="s">
        <v>436</v>
      </c>
      <c r="B19" s="20"/>
      <c r="C19" s="23"/>
      <c r="D19" s="23"/>
      <c r="E19" s="79"/>
    </row>
    <row r="20" spans="1:5" ht="21" customHeight="1">
      <c r="A20" s="20" t="s">
        <v>437</v>
      </c>
      <c r="B20" s="20"/>
      <c r="C20" s="23"/>
      <c r="D20" s="23"/>
      <c r="E20" s="79"/>
    </row>
    <row r="21" spans="1:5" ht="21" customHeight="1">
      <c r="A21" s="20" t="s">
        <v>438</v>
      </c>
      <c r="B21" s="20"/>
      <c r="C21" s="23"/>
      <c r="D21" s="23"/>
      <c r="E21" s="79"/>
    </row>
    <row r="22" spans="1:5" ht="21" customHeight="1">
      <c r="A22" s="20"/>
      <c r="B22" s="20"/>
      <c r="C22" s="23"/>
      <c r="D22" s="23"/>
      <c r="E22" s="79"/>
    </row>
    <row r="23" spans="1:5" ht="21" customHeight="1">
      <c r="A23" s="58" t="s">
        <v>396</v>
      </c>
      <c r="B23" s="21">
        <f>SUM(B4:B22)</f>
        <v>1244</v>
      </c>
      <c r="C23" s="24">
        <f>SUM(C4:C22)</f>
        <v>908</v>
      </c>
      <c r="D23" s="24">
        <f>SUM(D4:D22)</f>
        <v>1800</v>
      </c>
      <c r="E23" s="59">
        <f>D23/C23-1</f>
        <v>0.9823788546255507</v>
      </c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115" t="s">
        <v>540</v>
      </c>
      <c r="B1" s="115"/>
      <c r="C1" s="115"/>
      <c r="D1" s="115"/>
      <c r="E1" s="115"/>
    </row>
    <row r="2" spans="1:5" ht="27" customHeight="1">
      <c r="A2" s="16"/>
      <c r="B2" s="16"/>
      <c r="C2" s="16"/>
      <c r="D2" s="16"/>
      <c r="E2" s="18" t="s">
        <v>383</v>
      </c>
    </row>
    <row r="3" spans="1:5" s="1" customFormat="1" ht="21" customHeight="1">
      <c r="A3" s="35" t="s">
        <v>91</v>
      </c>
      <c r="B3" s="35" t="s">
        <v>1</v>
      </c>
      <c r="C3" s="47" t="s">
        <v>541</v>
      </c>
      <c r="D3" s="47" t="s">
        <v>542</v>
      </c>
      <c r="E3" s="35" t="s">
        <v>384</v>
      </c>
    </row>
    <row r="4" spans="1:5" ht="21" customHeight="1">
      <c r="A4" s="55" t="s">
        <v>385</v>
      </c>
      <c r="B4" s="36"/>
      <c r="C4" s="36"/>
      <c r="D4" s="36"/>
      <c r="E4" s="56"/>
    </row>
    <row r="5" spans="1:5" ht="21" customHeight="1">
      <c r="A5" s="55" t="s">
        <v>386</v>
      </c>
      <c r="B5" s="37">
        <f>366+100</f>
        <v>466</v>
      </c>
      <c r="C5" s="37"/>
      <c r="D5" s="37"/>
      <c r="E5" s="57"/>
    </row>
    <row r="6" spans="1:5" ht="21" customHeight="1">
      <c r="A6" s="55" t="s">
        <v>387</v>
      </c>
      <c r="B6" s="37">
        <v>24</v>
      </c>
      <c r="C6" s="37"/>
      <c r="D6" s="37"/>
      <c r="E6" s="57" t="e">
        <f>D6/C6-1</f>
        <v>#DIV/0!</v>
      </c>
    </row>
    <row r="7" spans="1:5" ht="21" customHeight="1">
      <c r="A7" s="55" t="s">
        <v>388</v>
      </c>
      <c r="B7" s="37">
        <v>417</v>
      </c>
      <c r="C7" s="37">
        <v>145</v>
      </c>
      <c r="D7" s="37">
        <v>160</v>
      </c>
      <c r="E7" s="57">
        <f>D7/C7-1</f>
        <v>0.10344827586206895</v>
      </c>
    </row>
    <row r="8" spans="1:5" ht="21" customHeight="1">
      <c r="A8" s="55" t="s">
        <v>389</v>
      </c>
      <c r="B8" s="37"/>
      <c r="C8" s="37"/>
      <c r="D8" s="37"/>
      <c r="E8" s="57"/>
    </row>
    <row r="9" spans="1:5" ht="21" customHeight="1">
      <c r="A9" s="55" t="s">
        <v>390</v>
      </c>
      <c r="B9" s="37">
        <f>3691+230</f>
        <v>3921</v>
      </c>
      <c r="C9" s="37">
        <v>864</v>
      </c>
      <c r="D9" s="37">
        <v>1300</v>
      </c>
      <c r="E9" s="57">
        <f>D9/C9-1</f>
        <v>0.5046296296296295</v>
      </c>
    </row>
    <row r="10" spans="1:5" ht="21" customHeight="1">
      <c r="A10" s="55" t="s">
        <v>391</v>
      </c>
      <c r="B10" s="37">
        <v>102</v>
      </c>
      <c r="C10" s="37"/>
      <c r="D10" s="37">
        <v>40</v>
      </c>
      <c r="E10" s="57" t="e">
        <f>D10/C10-1</f>
        <v>#DIV/0!</v>
      </c>
    </row>
    <row r="11" spans="1:5" ht="21" customHeight="1">
      <c r="A11" s="55" t="s">
        <v>392</v>
      </c>
      <c r="B11" s="37"/>
      <c r="C11" s="37"/>
      <c r="D11" s="37"/>
      <c r="E11" s="57"/>
    </row>
    <row r="12" spans="1:5" ht="21" customHeight="1">
      <c r="A12" s="55" t="s">
        <v>84</v>
      </c>
      <c r="B12" s="37"/>
      <c r="C12" s="37"/>
      <c r="D12" s="37"/>
      <c r="E12" s="57"/>
    </row>
    <row r="13" spans="1:5" ht="21" customHeight="1">
      <c r="A13" s="55" t="s">
        <v>85</v>
      </c>
      <c r="B13" s="37"/>
      <c r="C13" s="37">
        <v>16</v>
      </c>
      <c r="D13" s="37"/>
      <c r="E13" s="57"/>
    </row>
    <row r="14" spans="1:5" ht="21" customHeight="1">
      <c r="A14" s="55" t="s">
        <v>86</v>
      </c>
      <c r="B14" s="37">
        <v>968</v>
      </c>
      <c r="C14" s="37">
        <v>425</v>
      </c>
      <c r="D14" s="37">
        <v>500</v>
      </c>
      <c r="E14" s="57">
        <f>D14/C14-1</f>
        <v>0.17647058823529416</v>
      </c>
    </row>
    <row r="15" spans="1:5" ht="21" customHeight="1">
      <c r="A15" s="55"/>
      <c r="B15" s="37"/>
      <c r="C15" s="37"/>
      <c r="D15" s="37"/>
      <c r="E15" s="57"/>
    </row>
    <row r="16" spans="1:5" ht="21" customHeight="1">
      <c r="A16" s="55"/>
      <c r="B16" s="37"/>
      <c r="C16" s="37"/>
      <c r="D16" s="37"/>
      <c r="E16" s="57"/>
    </row>
    <row r="17" spans="1:5" ht="21" customHeight="1">
      <c r="A17" s="58" t="s">
        <v>397</v>
      </c>
      <c r="B17" s="24">
        <f>SUM(B5:B16)</f>
        <v>5898</v>
      </c>
      <c r="C17" s="24">
        <f>SUM(C5:C16)</f>
        <v>1450</v>
      </c>
      <c r="D17" s="24">
        <f>SUM(D5:D16)</f>
        <v>2000</v>
      </c>
      <c r="E17" s="59">
        <f>D17/C17-1</f>
        <v>0.3793103448275863</v>
      </c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7"/>
  <sheetViews>
    <sheetView zoomScalePageLayoutView="0" workbookViewId="0" topLeftCell="A1">
      <pane xSplit="2" ySplit="4" topLeftCell="C334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B341" activeCellId="2" sqref="B326 B329 B341"/>
    </sheetView>
  </sheetViews>
  <sheetFormatPr defaultColWidth="9.140625" defaultRowHeight="15"/>
  <cols>
    <col min="1" max="1" width="26.00390625" style="0" customWidth="1"/>
    <col min="2" max="2" width="8.421875" style="0" bestFit="1" customWidth="1"/>
    <col min="3" max="3" width="34.28125" style="0" customWidth="1"/>
    <col min="4" max="4" width="16.00390625" style="0" customWidth="1"/>
    <col min="5" max="5" width="11.00390625" style="0" bestFit="1" customWidth="1"/>
  </cols>
  <sheetData>
    <row r="1" spans="1:5" ht="39.75" customHeight="1">
      <c r="A1" s="115" t="s">
        <v>465</v>
      </c>
      <c r="B1" s="115"/>
      <c r="C1" s="115"/>
      <c r="D1" s="115"/>
      <c r="E1" s="115"/>
    </row>
    <row r="2" ht="27" customHeight="1">
      <c r="E2" s="17" t="s">
        <v>75</v>
      </c>
    </row>
    <row r="3" spans="1:5" ht="18.75" customHeight="1">
      <c r="A3" s="117" t="s">
        <v>87</v>
      </c>
      <c r="B3" s="117"/>
      <c r="C3" s="117" t="s">
        <v>88</v>
      </c>
      <c r="D3" s="117"/>
      <c r="E3" s="117" t="s">
        <v>89</v>
      </c>
    </row>
    <row r="4" spans="1:5" s="3" customFormat="1" ht="18.75" customHeight="1">
      <c r="A4" s="25" t="s">
        <v>91</v>
      </c>
      <c r="B4" s="4" t="s">
        <v>92</v>
      </c>
      <c r="C4" s="26" t="s">
        <v>91</v>
      </c>
      <c r="D4" s="4" t="s">
        <v>92</v>
      </c>
      <c r="E4" s="118"/>
    </row>
    <row r="5" spans="1:6" s="2" customFormat="1" ht="18.75" customHeight="1">
      <c r="A5" s="64" t="s">
        <v>4</v>
      </c>
      <c r="B5" s="28">
        <f>SUM(B6:B21)</f>
        <v>29588</v>
      </c>
      <c r="C5" s="65" t="s">
        <v>362</v>
      </c>
      <c r="D5" s="28">
        <f>D6+D9+D11+D14+D16+D19+D22+D24+D27+D29+D32+D34+D37+D39+D42+D44+D46+D48</f>
        <v>38200</v>
      </c>
      <c r="E5" s="66"/>
      <c r="F5" s="27"/>
    </row>
    <row r="6" spans="1:5" s="2" customFormat="1" ht="18.75" customHeight="1">
      <c r="A6" s="67" t="s">
        <v>6</v>
      </c>
      <c r="B6" s="29">
        <v>16168</v>
      </c>
      <c r="C6" s="34" t="s">
        <v>93</v>
      </c>
      <c r="D6" s="29">
        <f>SUM(D7:D8)</f>
        <v>741</v>
      </c>
      <c r="E6" s="68"/>
    </row>
    <row r="7" spans="1:5" s="2" customFormat="1" ht="18.75" customHeight="1">
      <c r="A7" s="67" t="s">
        <v>7</v>
      </c>
      <c r="B7" s="29"/>
      <c r="C7" s="34" t="s">
        <v>94</v>
      </c>
      <c r="D7" s="29">
        <v>726</v>
      </c>
      <c r="E7" s="68"/>
    </row>
    <row r="8" spans="1:5" s="2" customFormat="1" ht="18.75" customHeight="1">
      <c r="A8" s="67" t="s">
        <v>9</v>
      </c>
      <c r="B8" s="29">
        <v>2700</v>
      </c>
      <c r="C8" s="34" t="s">
        <v>97</v>
      </c>
      <c r="D8" s="29">
        <v>15</v>
      </c>
      <c r="E8" s="68"/>
    </row>
    <row r="9" spans="1:5" s="2" customFormat="1" ht="18.75" customHeight="1">
      <c r="A9" s="67" t="s">
        <v>11</v>
      </c>
      <c r="B9" s="29"/>
      <c r="C9" s="34" t="s">
        <v>98</v>
      </c>
      <c r="D9" s="29">
        <f>D10</f>
        <v>630</v>
      </c>
      <c r="E9" s="68"/>
    </row>
    <row r="10" spans="1:5" s="2" customFormat="1" ht="18.75" customHeight="1">
      <c r="A10" s="67" t="s">
        <v>13</v>
      </c>
      <c r="B10" s="29">
        <v>3000</v>
      </c>
      <c r="C10" s="34" t="s">
        <v>94</v>
      </c>
      <c r="D10" s="29">
        <v>630</v>
      </c>
      <c r="E10" s="68"/>
    </row>
    <row r="11" spans="1:5" s="2" customFormat="1" ht="18.75" customHeight="1">
      <c r="A11" s="67" t="s">
        <v>15</v>
      </c>
      <c r="B11" s="29">
        <v>3100</v>
      </c>
      <c r="C11" s="34" t="s">
        <v>99</v>
      </c>
      <c r="D11" s="29">
        <f>SUM(D12:D13)</f>
        <v>9512</v>
      </c>
      <c r="E11" s="68"/>
    </row>
    <row r="12" spans="1:5" s="2" customFormat="1" ht="18.75" customHeight="1">
      <c r="A12" s="67" t="s">
        <v>17</v>
      </c>
      <c r="B12" s="29"/>
      <c r="C12" s="34" t="s">
        <v>94</v>
      </c>
      <c r="D12" s="29">
        <f>6362+2550</f>
        <v>8912</v>
      </c>
      <c r="E12" s="68"/>
    </row>
    <row r="13" spans="1:5" s="2" customFormat="1" ht="27">
      <c r="A13" s="67" t="s">
        <v>19</v>
      </c>
      <c r="B13" s="29">
        <v>1500</v>
      </c>
      <c r="C13" s="34" t="s">
        <v>100</v>
      </c>
      <c r="D13" s="29">
        <v>600</v>
      </c>
      <c r="E13" s="68"/>
    </row>
    <row r="14" spans="1:5" s="2" customFormat="1" ht="18.75" customHeight="1">
      <c r="A14" s="67" t="s">
        <v>21</v>
      </c>
      <c r="B14" s="29">
        <v>350</v>
      </c>
      <c r="C14" s="34" t="s">
        <v>101</v>
      </c>
      <c r="D14" s="29">
        <f>D15</f>
        <v>598</v>
      </c>
      <c r="E14" s="68"/>
    </row>
    <row r="15" spans="1:5" s="2" customFormat="1" ht="18.75" customHeight="1">
      <c r="A15" s="67" t="s">
        <v>23</v>
      </c>
      <c r="B15" s="29">
        <v>450</v>
      </c>
      <c r="C15" s="34" t="s">
        <v>94</v>
      </c>
      <c r="D15" s="29">
        <v>598</v>
      </c>
      <c r="E15" s="68"/>
    </row>
    <row r="16" spans="1:5" s="2" customFormat="1" ht="18.75" customHeight="1">
      <c r="A16" s="67" t="s">
        <v>25</v>
      </c>
      <c r="B16" s="29">
        <v>200</v>
      </c>
      <c r="C16" s="34" t="s">
        <v>102</v>
      </c>
      <c r="D16" s="29">
        <f>SUM(D17:D18)</f>
        <v>253</v>
      </c>
      <c r="E16" s="68"/>
    </row>
    <row r="17" spans="1:5" s="2" customFormat="1" ht="18.75" customHeight="1">
      <c r="A17" s="67" t="s">
        <v>27</v>
      </c>
      <c r="B17" s="29">
        <v>300</v>
      </c>
      <c r="C17" s="34" t="s">
        <v>94</v>
      </c>
      <c r="D17" s="29">
        <v>239</v>
      </c>
      <c r="E17" s="68"/>
    </row>
    <row r="18" spans="1:5" s="2" customFormat="1" ht="18.75" customHeight="1">
      <c r="A18" s="67" t="s">
        <v>29</v>
      </c>
      <c r="B18" s="29">
        <v>500</v>
      </c>
      <c r="C18" s="34" t="s">
        <v>103</v>
      </c>
      <c r="D18" s="29">
        <v>14</v>
      </c>
      <c r="E18" s="68"/>
    </row>
    <row r="19" spans="1:5" s="2" customFormat="1" ht="18.75" customHeight="1">
      <c r="A19" s="67" t="s">
        <v>31</v>
      </c>
      <c r="B19" s="29">
        <v>1100</v>
      </c>
      <c r="C19" s="34" t="s">
        <v>104</v>
      </c>
      <c r="D19" s="29">
        <f>SUM(D20:D21)</f>
        <v>2511</v>
      </c>
      <c r="E19" s="68"/>
    </row>
    <row r="20" spans="1:5" s="2" customFormat="1" ht="18.75" customHeight="1">
      <c r="A20" s="67" t="s">
        <v>33</v>
      </c>
      <c r="B20" s="29">
        <v>220</v>
      </c>
      <c r="C20" s="34" t="s">
        <v>94</v>
      </c>
      <c r="D20" s="29">
        <f>2295+200</f>
        <v>2495</v>
      </c>
      <c r="E20" s="68"/>
    </row>
    <row r="21" spans="1:5" s="2" customFormat="1" ht="18.75" customHeight="1">
      <c r="A21" s="67"/>
      <c r="B21" s="29"/>
      <c r="C21" s="34" t="s">
        <v>105</v>
      </c>
      <c r="D21" s="29">
        <v>16</v>
      </c>
      <c r="E21" s="68"/>
    </row>
    <row r="22" spans="1:5" s="2" customFormat="1" ht="18.75" customHeight="1">
      <c r="A22" s="67"/>
      <c r="B22" s="29"/>
      <c r="C22" s="34" t="s">
        <v>106</v>
      </c>
      <c r="D22" s="29">
        <f>D23</f>
        <v>160</v>
      </c>
      <c r="E22" s="68"/>
    </row>
    <row r="23" spans="1:5" s="2" customFormat="1" ht="18.75" customHeight="1">
      <c r="A23" s="64" t="s">
        <v>35</v>
      </c>
      <c r="B23" s="28">
        <f>SUM(B24:B29)</f>
        <v>7700</v>
      </c>
      <c r="C23" s="34" t="s">
        <v>94</v>
      </c>
      <c r="D23" s="29">
        <v>160</v>
      </c>
      <c r="E23" s="68"/>
    </row>
    <row r="24" spans="1:5" s="2" customFormat="1" ht="18.75" customHeight="1">
      <c r="A24" s="67" t="s">
        <v>37</v>
      </c>
      <c r="B24" s="29">
        <v>1500</v>
      </c>
      <c r="C24" s="34" t="s">
        <v>107</v>
      </c>
      <c r="D24" s="29">
        <f>SUM(D25:D26)</f>
        <v>565</v>
      </c>
      <c r="E24" s="68"/>
    </row>
    <row r="25" spans="1:5" s="2" customFormat="1" ht="18.75" customHeight="1">
      <c r="A25" s="67" t="s">
        <v>39</v>
      </c>
      <c r="B25" s="29">
        <v>3000</v>
      </c>
      <c r="C25" s="34" t="s">
        <v>94</v>
      </c>
      <c r="D25" s="29">
        <v>551</v>
      </c>
      <c r="E25" s="68"/>
    </row>
    <row r="26" spans="1:5" s="2" customFormat="1" ht="18.75" customHeight="1">
      <c r="A26" s="67" t="s">
        <v>41</v>
      </c>
      <c r="B26" s="29">
        <v>1000</v>
      </c>
      <c r="C26" s="34" t="s">
        <v>108</v>
      </c>
      <c r="D26" s="29">
        <v>14</v>
      </c>
      <c r="E26" s="68"/>
    </row>
    <row r="27" spans="1:5" s="2" customFormat="1" ht="18.75" customHeight="1">
      <c r="A27" s="67" t="s">
        <v>43</v>
      </c>
      <c r="B27" s="29"/>
      <c r="C27" s="34" t="s">
        <v>109</v>
      </c>
      <c r="D27" s="29">
        <f>D28</f>
        <v>981</v>
      </c>
      <c r="E27" s="68"/>
    </row>
    <row r="28" spans="1:5" s="2" customFormat="1" ht="27">
      <c r="A28" s="67" t="s">
        <v>90</v>
      </c>
      <c r="B28" s="29">
        <v>2200</v>
      </c>
      <c r="C28" s="34" t="s">
        <v>94</v>
      </c>
      <c r="D28" s="29">
        <v>981</v>
      </c>
      <c r="E28" s="68"/>
    </row>
    <row r="29" spans="1:5" s="2" customFormat="1" ht="18.75" customHeight="1">
      <c r="A29" s="67" t="s">
        <v>46</v>
      </c>
      <c r="B29" s="29"/>
      <c r="C29" s="34" t="s">
        <v>110</v>
      </c>
      <c r="D29" s="29">
        <f>SUM(D30:D31)</f>
        <v>1885</v>
      </c>
      <c r="E29" s="68"/>
    </row>
    <row r="30" spans="1:5" s="2" customFormat="1" ht="18.75" customHeight="1">
      <c r="A30" s="67"/>
      <c r="B30" s="29"/>
      <c r="C30" s="34" t="s">
        <v>94</v>
      </c>
      <c r="D30" s="29">
        <v>1685</v>
      </c>
      <c r="E30" s="68"/>
    </row>
    <row r="31" spans="1:5" s="2" customFormat="1" ht="18.75" customHeight="1">
      <c r="A31" s="67"/>
      <c r="B31" s="29"/>
      <c r="C31" s="34" t="s">
        <v>111</v>
      </c>
      <c r="D31" s="29">
        <v>200</v>
      </c>
      <c r="E31" s="68"/>
    </row>
    <row r="32" spans="1:5" s="2" customFormat="1" ht="18.75" customHeight="1">
      <c r="A32" s="67"/>
      <c r="B32" s="29"/>
      <c r="C32" s="69" t="s">
        <v>439</v>
      </c>
      <c r="D32" s="29">
        <f>D33</f>
        <v>1285</v>
      </c>
      <c r="E32" s="68"/>
    </row>
    <row r="33" spans="1:5" s="2" customFormat="1" ht="18.75" customHeight="1">
      <c r="A33" s="67"/>
      <c r="B33" s="29"/>
      <c r="C33" s="69" t="s">
        <v>440</v>
      </c>
      <c r="D33" s="29">
        <v>1285</v>
      </c>
      <c r="E33" s="68"/>
    </row>
    <row r="34" spans="1:5" s="2" customFormat="1" ht="18.75" customHeight="1">
      <c r="A34" s="67"/>
      <c r="B34" s="29"/>
      <c r="C34" s="69" t="s">
        <v>441</v>
      </c>
      <c r="D34" s="29">
        <f>SUM(D35:D36)</f>
        <v>579</v>
      </c>
      <c r="E34" s="68"/>
    </row>
    <row r="35" spans="1:5" s="2" customFormat="1" ht="18.75" customHeight="1">
      <c r="A35" s="67"/>
      <c r="B35" s="29"/>
      <c r="C35" s="69" t="s">
        <v>440</v>
      </c>
      <c r="D35" s="29">
        <v>484</v>
      </c>
      <c r="E35" s="68"/>
    </row>
    <row r="36" spans="1:5" s="2" customFormat="1" ht="18.75" customHeight="1">
      <c r="A36" s="67"/>
      <c r="B36" s="29"/>
      <c r="C36" s="69" t="s">
        <v>442</v>
      </c>
      <c r="D36" s="29">
        <v>95</v>
      </c>
      <c r="E36" s="68"/>
    </row>
    <row r="37" spans="1:5" s="2" customFormat="1" ht="18.75" customHeight="1">
      <c r="A37" s="67"/>
      <c r="B37" s="29"/>
      <c r="C37" s="34" t="s">
        <v>112</v>
      </c>
      <c r="D37" s="29">
        <f>D38</f>
        <v>160</v>
      </c>
      <c r="E37" s="68"/>
    </row>
    <row r="38" spans="1:5" s="2" customFormat="1" ht="18.75" customHeight="1">
      <c r="A38" s="67"/>
      <c r="B38" s="29"/>
      <c r="C38" s="34" t="s">
        <v>94</v>
      </c>
      <c r="D38" s="29">
        <v>160</v>
      </c>
      <c r="E38" s="68"/>
    </row>
    <row r="39" spans="1:5" s="2" customFormat="1" ht="18.75" customHeight="1">
      <c r="A39" s="67"/>
      <c r="B39" s="29"/>
      <c r="C39" s="34" t="s">
        <v>113</v>
      </c>
      <c r="D39" s="29">
        <f>SUM(D40:D41)</f>
        <v>379</v>
      </c>
      <c r="E39" s="68"/>
    </row>
    <row r="40" spans="1:5" s="2" customFormat="1" ht="18.75" customHeight="1">
      <c r="A40" s="67"/>
      <c r="B40" s="29"/>
      <c r="C40" s="34" t="s">
        <v>94</v>
      </c>
      <c r="D40" s="29">
        <v>353</v>
      </c>
      <c r="E40" s="68"/>
    </row>
    <row r="41" spans="1:5" s="2" customFormat="1" ht="18.75" customHeight="1">
      <c r="A41" s="70"/>
      <c r="B41" s="33"/>
      <c r="C41" s="32" t="s">
        <v>114</v>
      </c>
      <c r="D41" s="33">
        <v>26</v>
      </c>
      <c r="E41" s="71"/>
    </row>
    <row r="42" spans="1:5" s="2" customFormat="1" ht="18.75" customHeight="1">
      <c r="A42" s="67"/>
      <c r="B42" s="29"/>
      <c r="C42" s="34" t="s">
        <v>115</v>
      </c>
      <c r="D42" s="29">
        <f>D43</f>
        <v>12354</v>
      </c>
      <c r="E42" s="68"/>
    </row>
    <row r="43" spans="1:5" s="2" customFormat="1" ht="18.75" customHeight="1">
      <c r="A43" s="67"/>
      <c r="B43" s="29"/>
      <c r="C43" s="34" t="s">
        <v>94</v>
      </c>
      <c r="D43" s="29">
        <f>11054+1300</f>
        <v>12354</v>
      </c>
      <c r="E43" s="68"/>
    </row>
    <row r="44" spans="1:5" s="2" customFormat="1" ht="18.75" customHeight="1">
      <c r="A44" s="67"/>
      <c r="B44" s="29"/>
      <c r="C44" s="34" t="s">
        <v>116</v>
      </c>
      <c r="D44" s="29">
        <f>D45</f>
        <v>4001</v>
      </c>
      <c r="E44" s="68"/>
    </row>
    <row r="45" spans="1:5" s="2" customFormat="1" ht="18.75" customHeight="1">
      <c r="A45" s="67"/>
      <c r="B45" s="29"/>
      <c r="C45" s="34" t="s">
        <v>117</v>
      </c>
      <c r="D45" s="29">
        <v>4001</v>
      </c>
      <c r="E45" s="68"/>
    </row>
    <row r="46" spans="1:5" s="2" customFormat="1" ht="18.75" customHeight="1">
      <c r="A46" s="67"/>
      <c r="B46" s="29"/>
      <c r="C46" s="34" t="s">
        <v>118</v>
      </c>
      <c r="D46" s="29">
        <f>D47</f>
        <v>300</v>
      </c>
      <c r="E46" s="68"/>
    </row>
    <row r="47" spans="1:5" s="2" customFormat="1" ht="18.75" customHeight="1">
      <c r="A47" s="67"/>
      <c r="B47" s="29"/>
      <c r="C47" s="34" t="s">
        <v>119</v>
      </c>
      <c r="D47" s="29">
        <v>300</v>
      </c>
      <c r="E47" s="68"/>
    </row>
    <row r="48" spans="1:5" s="2" customFormat="1" ht="18.75" customHeight="1">
      <c r="A48" s="67"/>
      <c r="B48" s="29"/>
      <c r="C48" s="69" t="s">
        <v>443</v>
      </c>
      <c r="D48" s="29">
        <f>D49</f>
        <v>1306</v>
      </c>
      <c r="E48" s="68"/>
    </row>
    <row r="49" spans="1:5" s="2" customFormat="1" ht="18.75" customHeight="1">
      <c r="A49" s="67"/>
      <c r="B49" s="29"/>
      <c r="C49" s="69" t="s">
        <v>444</v>
      </c>
      <c r="D49" s="29">
        <v>1306</v>
      </c>
      <c r="E49" s="68"/>
    </row>
    <row r="50" spans="1:5" s="2" customFormat="1" ht="18.75" customHeight="1">
      <c r="A50" s="67"/>
      <c r="B50" s="29"/>
      <c r="C50" s="72" t="s">
        <v>445</v>
      </c>
      <c r="D50" s="29">
        <f>D51</f>
        <v>0</v>
      </c>
      <c r="E50" s="68"/>
    </row>
    <row r="51" spans="1:5" s="2" customFormat="1" ht="18.75" customHeight="1">
      <c r="A51" s="67"/>
      <c r="B51" s="29"/>
      <c r="C51" s="69" t="s">
        <v>446</v>
      </c>
      <c r="D51" s="29">
        <f>D52</f>
        <v>0</v>
      </c>
      <c r="E51" s="68"/>
    </row>
    <row r="52" spans="1:5" s="2" customFormat="1" ht="18.75" customHeight="1">
      <c r="A52" s="67"/>
      <c r="B52" s="29"/>
      <c r="C52" s="69" t="s">
        <v>447</v>
      </c>
      <c r="D52" s="29"/>
      <c r="E52" s="68"/>
    </row>
    <row r="53" spans="1:6" s="2" customFormat="1" ht="18.75" customHeight="1">
      <c r="A53" s="67"/>
      <c r="B53" s="29"/>
      <c r="C53" s="73" t="s">
        <v>448</v>
      </c>
      <c r="D53" s="28">
        <f>D54+D58+D66+D69+D73+D77</f>
        <v>67200</v>
      </c>
      <c r="E53" s="66"/>
      <c r="F53" s="27"/>
    </row>
    <row r="54" spans="1:5" s="2" customFormat="1" ht="18.75" customHeight="1">
      <c r="A54" s="67"/>
      <c r="B54" s="29"/>
      <c r="C54" s="34" t="s">
        <v>120</v>
      </c>
      <c r="D54" s="29">
        <f>SUM(D55:D57)</f>
        <v>296</v>
      </c>
      <c r="E54" s="68"/>
    </row>
    <row r="55" spans="1:5" s="2" customFormat="1" ht="18.75" customHeight="1">
      <c r="A55" s="67"/>
      <c r="B55" s="29"/>
      <c r="C55" s="34" t="s">
        <v>121</v>
      </c>
      <c r="D55" s="29">
        <v>13</v>
      </c>
      <c r="E55" s="68"/>
    </row>
    <row r="56" spans="1:5" s="2" customFormat="1" ht="18.75" customHeight="1">
      <c r="A56" s="67"/>
      <c r="B56" s="29"/>
      <c r="C56" s="34" t="s">
        <v>122</v>
      </c>
      <c r="D56" s="29">
        <v>30</v>
      </c>
      <c r="E56" s="68"/>
    </row>
    <row r="57" spans="1:5" s="2" customFormat="1" ht="18.75" customHeight="1">
      <c r="A57" s="67"/>
      <c r="B57" s="29"/>
      <c r="C57" s="34" t="s">
        <v>123</v>
      </c>
      <c r="D57" s="29">
        <v>253</v>
      </c>
      <c r="E57" s="68"/>
    </row>
    <row r="58" spans="1:5" s="2" customFormat="1" ht="18.75" customHeight="1">
      <c r="A58" s="67"/>
      <c r="B58" s="29"/>
      <c r="C58" s="34" t="s">
        <v>124</v>
      </c>
      <c r="D58" s="29">
        <f>SUM(D59:D65)</f>
        <v>45231</v>
      </c>
      <c r="E58" s="68"/>
    </row>
    <row r="59" spans="1:5" s="2" customFormat="1" ht="18.75" customHeight="1">
      <c r="A59" s="67"/>
      <c r="B59" s="29"/>
      <c r="C59" s="34" t="s">
        <v>94</v>
      </c>
      <c r="D59" s="29">
        <v>27130</v>
      </c>
      <c r="E59" s="68"/>
    </row>
    <row r="60" spans="1:5" s="2" customFormat="1" ht="18.75" customHeight="1">
      <c r="A60" s="67"/>
      <c r="B60" s="29"/>
      <c r="C60" s="34" t="s">
        <v>486</v>
      </c>
      <c r="D60" s="29">
        <v>6517</v>
      </c>
      <c r="E60" s="68"/>
    </row>
    <row r="61" spans="1:5" s="2" customFormat="1" ht="18.75" customHeight="1">
      <c r="A61" s="67"/>
      <c r="B61" s="29"/>
      <c r="C61" s="34" t="s">
        <v>125</v>
      </c>
      <c r="D61" s="29">
        <v>65</v>
      </c>
      <c r="E61" s="68"/>
    </row>
    <row r="62" spans="1:5" s="2" customFormat="1" ht="18.75" customHeight="1">
      <c r="A62" s="67"/>
      <c r="B62" s="29"/>
      <c r="C62" s="34" t="s">
        <v>126</v>
      </c>
      <c r="D62" s="29">
        <v>183</v>
      </c>
      <c r="E62" s="68"/>
    </row>
    <row r="63" spans="1:5" s="2" customFormat="1" ht="18.75" customHeight="1">
      <c r="A63" s="67"/>
      <c r="B63" s="29"/>
      <c r="C63" s="74" t="s">
        <v>550</v>
      </c>
      <c r="D63" s="29">
        <v>864</v>
      </c>
      <c r="E63" s="68"/>
    </row>
    <row r="64" spans="1:5" s="2" customFormat="1" ht="18.75" customHeight="1">
      <c r="A64" s="67"/>
      <c r="B64" s="29"/>
      <c r="C64" s="34" t="s">
        <v>127</v>
      </c>
      <c r="D64" s="29">
        <v>8611</v>
      </c>
      <c r="E64" s="68"/>
    </row>
    <row r="65" spans="1:5" s="2" customFormat="1" ht="18.75" customHeight="1">
      <c r="A65" s="67"/>
      <c r="B65" s="29"/>
      <c r="C65" s="34" t="s">
        <v>128</v>
      </c>
      <c r="D65" s="29">
        <v>1861</v>
      </c>
      <c r="E65" s="68"/>
    </row>
    <row r="66" spans="1:5" s="2" customFormat="1" ht="18.75" customHeight="1">
      <c r="A66" s="67"/>
      <c r="B66" s="29"/>
      <c r="C66" s="34" t="s">
        <v>129</v>
      </c>
      <c r="D66" s="29">
        <f>SUM(D67:D68)</f>
        <v>1202</v>
      </c>
      <c r="E66" s="68"/>
    </row>
    <row r="67" spans="1:5" s="2" customFormat="1" ht="18.75" customHeight="1">
      <c r="A67" s="67"/>
      <c r="B67" s="29"/>
      <c r="C67" s="34" t="s">
        <v>94</v>
      </c>
      <c r="D67" s="29">
        <v>987</v>
      </c>
      <c r="E67" s="68"/>
    </row>
    <row r="68" spans="1:5" s="2" customFormat="1" ht="18.75" customHeight="1">
      <c r="A68" s="67"/>
      <c r="B68" s="29"/>
      <c r="C68" s="34" t="s">
        <v>130</v>
      </c>
      <c r="D68" s="29">
        <v>215</v>
      </c>
      <c r="E68" s="68"/>
    </row>
    <row r="69" spans="1:5" s="2" customFormat="1" ht="18.75" customHeight="1">
      <c r="A69" s="67"/>
      <c r="B69" s="29"/>
      <c r="C69" s="34" t="s">
        <v>131</v>
      </c>
      <c r="D69" s="29">
        <f>SUM(D70:D72)</f>
        <v>4092</v>
      </c>
      <c r="E69" s="68"/>
    </row>
    <row r="70" spans="1:5" s="2" customFormat="1" ht="18.75" customHeight="1">
      <c r="A70" s="67"/>
      <c r="B70" s="29"/>
      <c r="C70" s="34" t="s">
        <v>94</v>
      </c>
      <c r="D70" s="29">
        <v>2342</v>
      </c>
      <c r="E70" s="68"/>
    </row>
    <row r="71" spans="1:5" s="2" customFormat="1" ht="18.75" customHeight="1">
      <c r="A71" s="67"/>
      <c r="B71" s="29"/>
      <c r="C71" s="34" t="s">
        <v>487</v>
      </c>
      <c r="D71" s="29">
        <v>1449</v>
      </c>
      <c r="E71" s="68"/>
    </row>
    <row r="72" spans="1:5" s="2" customFormat="1" ht="18.75" customHeight="1">
      <c r="A72" s="67"/>
      <c r="B72" s="29"/>
      <c r="C72" s="34" t="s">
        <v>132</v>
      </c>
      <c r="D72" s="29">
        <v>301</v>
      </c>
      <c r="E72" s="68"/>
    </row>
    <row r="73" spans="1:5" s="2" customFormat="1" ht="18.75" customHeight="1">
      <c r="A73" s="67"/>
      <c r="B73" s="29"/>
      <c r="C73" s="34" t="s">
        <v>133</v>
      </c>
      <c r="D73" s="29">
        <f>SUM(D74:D76)</f>
        <v>1167</v>
      </c>
      <c r="E73" s="68"/>
    </row>
    <row r="74" spans="1:5" s="2" customFormat="1" ht="18.75" customHeight="1">
      <c r="A74" s="67"/>
      <c r="B74" s="29"/>
      <c r="C74" s="34" t="s">
        <v>94</v>
      </c>
      <c r="D74" s="29">
        <v>1032</v>
      </c>
      <c r="E74" s="68"/>
    </row>
    <row r="75" spans="1:5" s="2" customFormat="1" ht="18.75" customHeight="1">
      <c r="A75" s="67"/>
      <c r="B75" s="29"/>
      <c r="C75" s="34" t="s">
        <v>134</v>
      </c>
      <c r="D75" s="29">
        <v>28</v>
      </c>
      <c r="E75" s="68"/>
    </row>
    <row r="76" spans="1:5" s="2" customFormat="1" ht="18.75" customHeight="1">
      <c r="A76" s="67"/>
      <c r="B76" s="29"/>
      <c r="C76" s="34" t="s">
        <v>135</v>
      </c>
      <c r="D76" s="29">
        <v>107</v>
      </c>
      <c r="E76" s="68"/>
    </row>
    <row r="77" spans="1:5" s="2" customFormat="1" ht="18.75" customHeight="1">
      <c r="A77" s="67"/>
      <c r="B77" s="29"/>
      <c r="C77" s="34" t="s">
        <v>136</v>
      </c>
      <c r="D77" s="29">
        <f>D78</f>
        <v>15212</v>
      </c>
      <c r="E77" s="68"/>
    </row>
    <row r="78" spans="1:5" s="2" customFormat="1" ht="18.75" customHeight="1">
      <c r="A78" s="67"/>
      <c r="B78" s="29"/>
      <c r="C78" s="34" t="s">
        <v>137</v>
      </c>
      <c r="D78" s="29">
        <f>8757+6455</f>
        <v>15212</v>
      </c>
      <c r="E78" s="68"/>
    </row>
    <row r="79" spans="1:6" s="2" customFormat="1" ht="18.75" customHeight="1">
      <c r="A79" s="67"/>
      <c r="B79" s="29"/>
      <c r="C79" s="65" t="s">
        <v>363</v>
      </c>
      <c r="D79" s="28">
        <f>D80+D83+D89+D93+D96+D99</f>
        <v>119380</v>
      </c>
      <c r="E79" s="66"/>
      <c r="F79" s="27"/>
    </row>
    <row r="80" spans="1:5" s="2" customFormat="1" ht="18.75" customHeight="1">
      <c r="A80" s="67"/>
      <c r="B80" s="29"/>
      <c r="C80" s="34" t="s">
        <v>138</v>
      </c>
      <c r="D80" s="29">
        <f>SUM(D81:D82)</f>
        <v>2073</v>
      </c>
      <c r="E80" s="68"/>
    </row>
    <row r="81" spans="1:5" s="2" customFormat="1" ht="18.75" customHeight="1">
      <c r="A81" s="67"/>
      <c r="B81" s="29"/>
      <c r="C81" s="34" t="s">
        <v>94</v>
      </c>
      <c r="D81" s="29">
        <v>2063</v>
      </c>
      <c r="E81" s="68"/>
    </row>
    <row r="82" spans="1:5" s="2" customFormat="1" ht="18.75" customHeight="1">
      <c r="A82" s="67"/>
      <c r="B82" s="29"/>
      <c r="C82" s="34" t="s">
        <v>139</v>
      </c>
      <c r="D82" s="29">
        <v>10</v>
      </c>
      <c r="E82" s="68"/>
    </row>
    <row r="83" spans="1:5" s="2" customFormat="1" ht="18.75" customHeight="1">
      <c r="A83" s="67"/>
      <c r="B83" s="29"/>
      <c r="C83" s="34" t="s">
        <v>140</v>
      </c>
      <c r="D83" s="29">
        <f>SUM(D84:D88)</f>
        <v>113439</v>
      </c>
      <c r="E83" s="68"/>
    </row>
    <row r="84" spans="1:5" s="2" customFormat="1" ht="18.75" customHeight="1">
      <c r="A84" s="70"/>
      <c r="B84" s="33"/>
      <c r="C84" s="32" t="s">
        <v>141</v>
      </c>
      <c r="D84" s="33">
        <f>7794+1000+2000</f>
        <v>10794</v>
      </c>
      <c r="E84" s="71"/>
    </row>
    <row r="85" spans="1:5" s="2" customFormat="1" ht="18.75" customHeight="1">
      <c r="A85" s="67"/>
      <c r="B85" s="29"/>
      <c r="C85" s="34" t="s">
        <v>142</v>
      </c>
      <c r="D85" s="51">
        <f>51520+2000</f>
        <v>53520</v>
      </c>
      <c r="E85" s="68"/>
    </row>
    <row r="86" spans="1:5" s="2" customFormat="1" ht="18.75" customHeight="1">
      <c r="A86" s="67"/>
      <c r="B86" s="29"/>
      <c r="C86" s="34" t="s">
        <v>143</v>
      </c>
      <c r="D86" s="29">
        <f>35343+3474+1423</f>
        <v>40240</v>
      </c>
      <c r="E86" s="68"/>
    </row>
    <row r="87" spans="1:5" s="2" customFormat="1" ht="18.75" customHeight="1">
      <c r="A87" s="67"/>
      <c r="B87" s="29"/>
      <c r="C87" s="34" t="s">
        <v>144</v>
      </c>
      <c r="D87" s="29">
        <v>1627</v>
      </c>
      <c r="E87" s="68"/>
    </row>
    <row r="88" spans="1:5" s="2" customFormat="1" ht="18.75" customHeight="1">
      <c r="A88" s="67"/>
      <c r="B88" s="29"/>
      <c r="C88" s="34" t="s">
        <v>145</v>
      </c>
      <c r="D88" s="29">
        <v>7258</v>
      </c>
      <c r="E88" s="68"/>
    </row>
    <row r="89" spans="1:5" s="2" customFormat="1" ht="18.75" customHeight="1">
      <c r="A89" s="67"/>
      <c r="B89" s="29"/>
      <c r="C89" s="34" t="s">
        <v>146</v>
      </c>
      <c r="D89" s="29">
        <f>SUM(D90:D92)</f>
        <v>2190</v>
      </c>
      <c r="E89" s="68"/>
    </row>
    <row r="90" spans="1:5" s="2" customFormat="1" ht="18.75" customHeight="1">
      <c r="A90" s="67"/>
      <c r="B90" s="29"/>
      <c r="C90" s="34" t="s">
        <v>147</v>
      </c>
      <c r="D90" s="29">
        <v>337</v>
      </c>
      <c r="E90" s="68"/>
    </row>
    <row r="91" spans="1:5" s="2" customFormat="1" ht="18.75" customHeight="1">
      <c r="A91" s="67"/>
      <c r="B91" s="29"/>
      <c r="C91" s="34" t="s">
        <v>148</v>
      </c>
      <c r="D91" s="29">
        <v>877</v>
      </c>
      <c r="E91" s="68"/>
    </row>
    <row r="92" spans="1:5" s="2" customFormat="1" ht="18.75" customHeight="1">
      <c r="A92" s="67"/>
      <c r="B92" s="29"/>
      <c r="C92" s="34" t="s">
        <v>149</v>
      </c>
      <c r="D92" s="29">
        <v>976</v>
      </c>
      <c r="E92" s="68"/>
    </row>
    <row r="93" spans="1:5" s="2" customFormat="1" ht="18.75" customHeight="1">
      <c r="A93" s="67"/>
      <c r="B93" s="29"/>
      <c r="C93" s="34" t="s">
        <v>150</v>
      </c>
      <c r="D93" s="29">
        <f>SUM(D94:D95)</f>
        <v>825</v>
      </c>
      <c r="E93" s="68"/>
    </row>
    <row r="94" spans="1:5" s="2" customFormat="1" ht="18.75" customHeight="1">
      <c r="A94" s="67"/>
      <c r="B94" s="29"/>
      <c r="C94" s="34" t="s">
        <v>151</v>
      </c>
      <c r="D94" s="29">
        <v>462</v>
      </c>
      <c r="E94" s="68"/>
    </row>
    <row r="95" spans="1:5" s="2" customFormat="1" ht="18.75" customHeight="1">
      <c r="A95" s="67"/>
      <c r="B95" s="29"/>
      <c r="C95" s="34" t="s">
        <v>152</v>
      </c>
      <c r="D95" s="29">
        <v>363</v>
      </c>
      <c r="E95" s="68"/>
    </row>
    <row r="96" spans="1:5" s="2" customFormat="1" ht="18.75" customHeight="1">
      <c r="A96" s="67"/>
      <c r="B96" s="29"/>
      <c r="C96" s="34" t="s">
        <v>153</v>
      </c>
      <c r="D96" s="29">
        <f>SUM(D97:D98)</f>
        <v>514</v>
      </c>
      <c r="E96" s="68"/>
    </row>
    <row r="97" spans="1:5" s="2" customFormat="1" ht="18.75" customHeight="1">
      <c r="A97" s="67"/>
      <c r="B97" s="29"/>
      <c r="C97" s="34" t="s">
        <v>488</v>
      </c>
      <c r="D97" s="29">
        <v>286</v>
      </c>
      <c r="E97" s="68"/>
    </row>
    <row r="98" spans="1:5" s="2" customFormat="1" ht="18.75" customHeight="1">
      <c r="A98" s="67"/>
      <c r="B98" s="29"/>
      <c r="C98" s="34" t="s">
        <v>154</v>
      </c>
      <c r="D98" s="29">
        <v>228</v>
      </c>
      <c r="E98" s="68"/>
    </row>
    <row r="99" spans="1:5" s="2" customFormat="1" ht="18.75" customHeight="1">
      <c r="A99" s="67"/>
      <c r="B99" s="29"/>
      <c r="C99" s="34" t="s">
        <v>155</v>
      </c>
      <c r="D99" s="29">
        <f>D100</f>
        <v>339</v>
      </c>
      <c r="E99" s="68"/>
    </row>
    <row r="100" spans="1:5" s="2" customFormat="1" ht="18.75" customHeight="1">
      <c r="A100" s="67"/>
      <c r="B100" s="29"/>
      <c r="C100" s="34" t="s">
        <v>156</v>
      </c>
      <c r="D100" s="29">
        <v>339</v>
      </c>
      <c r="E100" s="68"/>
    </row>
    <row r="101" spans="1:6" s="2" customFormat="1" ht="18.75" customHeight="1">
      <c r="A101" s="67"/>
      <c r="B101" s="29"/>
      <c r="C101" s="65" t="s">
        <v>364</v>
      </c>
      <c r="D101" s="28">
        <f>D102+D104</f>
        <v>450</v>
      </c>
      <c r="E101" s="66"/>
      <c r="F101" s="27"/>
    </row>
    <row r="102" spans="1:5" s="2" customFormat="1" ht="18.75" customHeight="1">
      <c r="A102" s="67"/>
      <c r="B102" s="29"/>
      <c r="C102" s="34" t="s">
        <v>157</v>
      </c>
      <c r="D102" s="29">
        <f>D103</f>
        <v>406</v>
      </c>
      <c r="E102" s="68"/>
    </row>
    <row r="103" spans="1:5" s="2" customFormat="1" ht="18.75" customHeight="1">
      <c r="A103" s="67"/>
      <c r="B103" s="29"/>
      <c r="C103" s="34" t="s">
        <v>94</v>
      </c>
      <c r="D103" s="29">
        <v>406</v>
      </c>
      <c r="E103" s="68"/>
    </row>
    <row r="104" spans="1:5" s="2" customFormat="1" ht="18.75" customHeight="1">
      <c r="A104" s="67"/>
      <c r="B104" s="29"/>
      <c r="C104" s="34" t="s">
        <v>159</v>
      </c>
      <c r="D104" s="29">
        <f>SUM(D105:D106)</f>
        <v>44</v>
      </c>
      <c r="E104" s="68"/>
    </row>
    <row r="105" spans="1:5" s="2" customFormat="1" ht="18.75" customHeight="1">
      <c r="A105" s="67"/>
      <c r="B105" s="29"/>
      <c r="C105" s="34" t="s">
        <v>160</v>
      </c>
      <c r="D105" s="29">
        <v>3</v>
      </c>
      <c r="E105" s="68"/>
    </row>
    <row r="106" spans="1:5" s="2" customFormat="1" ht="18.75" customHeight="1">
      <c r="A106" s="67"/>
      <c r="B106" s="29"/>
      <c r="C106" s="34" t="s">
        <v>161</v>
      </c>
      <c r="D106" s="29">
        <v>41</v>
      </c>
      <c r="E106" s="68"/>
    </row>
    <row r="107" spans="1:6" s="2" customFormat="1" ht="18.75" customHeight="1">
      <c r="A107" s="67"/>
      <c r="B107" s="29"/>
      <c r="C107" s="65" t="s">
        <v>365</v>
      </c>
      <c r="D107" s="28">
        <f>D108+D114+D121</f>
        <v>4603</v>
      </c>
      <c r="E107" s="66"/>
      <c r="F107" s="27"/>
    </row>
    <row r="108" spans="1:5" s="2" customFormat="1" ht="18.75" customHeight="1">
      <c r="A108" s="67"/>
      <c r="B108" s="29"/>
      <c r="C108" s="34" t="s">
        <v>162</v>
      </c>
      <c r="D108" s="29">
        <f>SUM(D109:D113)</f>
        <v>2674</v>
      </c>
      <c r="E108" s="68"/>
    </row>
    <row r="109" spans="1:5" s="2" customFormat="1" ht="18.75" customHeight="1">
      <c r="A109" s="67"/>
      <c r="B109" s="29"/>
      <c r="C109" s="34" t="s">
        <v>163</v>
      </c>
      <c r="D109" s="29">
        <v>139</v>
      </c>
      <c r="E109" s="68"/>
    </row>
    <row r="110" spans="1:5" s="2" customFormat="1" ht="18.75" customHeight="1">
      <c r="A110" s="67"/>
      <c r="B110" s="29"/>
      <c r="C110" s="34" t="s">
        <v>164</v>
      </c>
      <c r="D110" s="29">
        <v>727</v>
      </c>
      <c r="E110" s="68"/>
    </row>
    <row r="111" spans="1:5" s="2" customFormat="1" ht="18.75" customHeight="1">
      <c r="A111" s="67"/>
      <c r="B111" s="29"/>
      <c r="C111" s="34" t="s">
        <v>165</v>
      </c>
      <c r="D111" s="29">
        <f>1559+78</f>
        <v>1637</v>
      </c>
      <c r="E111" s="68"/>
    </row>
    <row r="112" spans="1:5" s="2" customFormat="1" ht="18.75" customHeight="1">
      <c r="A112" s="67"/>
      <c r="B112" s="29"/>
      <c r="C112" s="34" t="s">
        <v>166</v>
      </c>
      <c r="D112" s="29">
        <v>18</v>
      </c>
      <c r="E112" s="68"/>
    </row>
    <row r="113" spans="1:5" s="2" customFormat="1" ht="18.75" customHeight="1">
      <c r="A113" s="67"/>
      <c r="B113" s="29"/>
      <c r="C113" s="34" t="s">
        <v>167</v>
      </c>
      <c r="D113" s="29">
        <v>153</v>
      </c>
      <c r="E113" s="68"/>
    </row>
    <row r="114" spans="1:5" s="2" customFormat="1" ht="18.75" customHeight="1">
      <c r="A114" s="67"/>
      <c r="B114" s="29"/>
      <c r="C114" s="34" t="s">
        <v>489</v>
      </c>
      <c r="D114" s="29">
        <f>SUM(D115:D120)</f>
        <v>1734</v>
      </c>
      <c r="E114" s="68"/>
    </row>
    <row r="115" spans="1:5" s="2" customFormat="1" ht="18.75" customHeight="1">
      <c r="A115" s="67"/>
      <c r="B115" s="29"/>
      <c r="C115" s="34" t="s">
        <v>94</v>
      </c>
      <c r="D115" s="29">
        <v>984</v>
      </c>
      <c r="E115" s="68"/>
    </row>
    <row r="116" spans="1:5" s="2" customFormat="1" ht="18.75" customHeight="1">
      <c r="A116" s="67"/>
      <c r="B116" s="29"/>
      <c r="C116" s="34" t="s">
        <v>168</v>
      </c>
      <c r="D116" s="29">
        <v>45</v>
      </c>
      <c r="E116" s="68"/>
    </row>
    <row r="117" spans="1:5" s="2" customFormat="1" ht="18.75" customHeight="1">
      <c r="A117" s="67"/>
      <c r="B117" s="29"/>
      <c r="C117" s="34" t="s">
        <v>169</v>
      </c>
      <c r="D117" s="29">
        <v>604</v>
      </c>
      <c r="E117" s="68"/>
    </row>
    <row r="118" spans="1:5" s="2" customFormat="1" ht="18.75" customHeight="1">
      <c r="A118" s="67"/>
      <c r="B118" s="29"/>
      <c r="C118" s="34" t="s">
        <v>490</v>
      </c>
      <c r="D118" s="29">
        <v>22</v>
      </c>
      <c r="E118" s="68"/>
    </row>
    <row r="119" spans="1:5" s="2" customFormat="1" ht="18.75" customHeight="1">
      <c r="A119" s="67"/>
      <c r="B119" s="29"/>
      <c r="C119" s="34" t="s">
        <v>491</v>
      </c>
      <c r="D119" s="29">
        <v>6</v>
      </c>
      <c r="E119" s="68"/>
    </row>
    <row r="120" spans="1:5" s="2" customFormat="1" ht="18.75" customHeight="1">
      <c r="A120" s="67"/>
      <c r="B120" s="29"/>
      <c r="C120" s="34" t="s">
        <v>170</v>
      </c>
      <c r="D120" s="29">
        <v>73</v>
      </c>
      <c r="E120" s="68"/>
    </row>
    <row r="121" spans="1:5" s="2" customFormat="1" ht="18.75" customHeight="1">
      <c r="A121" s="67"/>
      <c r="B121" s="29"/>
      <c r="C121" s="34" t="s">
        <v>171</v>
      </c>
      <c r="D121" s="29">
        <f>D122</f>
        <v>195</v>
      </c>
      <c r="E121" s="68"/>
    </row>
    <row r="122" spans="1:5" s="2" customFormat="1" ht="18.75" customHeight="1">
      <c r="A122" s="67"/>
      <c r="B122" s="29"/>
      <c r="C122" s="34" t="s">
        <v>172</v>
      </c>
      <c r="D122" s="29">
        <v>195</v>
      </c>
      <c r="E122" s="68"/>
    </row>
    <row r="123" spans="1:6" s="2" customFormat="1" ht="18.75" customHeight="1">
      <c r="A123" s="67"/>
      <c r="B123" s="29"/>
      <c r="C123" s="65" t="s">
        <v>366</v>
      </c>
      <c r="D123" s="28">
        <f>D124+D127+D129+D131+D133+D136+D140+D143+D148+D153+D155+D157+D160+D163+D165</f>
        <v>41200</v>
      </c>
      <c r="E123" s="66"/>
      <c r="F123" s="27"/>
    </row>
    <row r="124" spans="1:5" s="2" customFormat="1" ht="18.75" customHeight="1">
      <c r="A124" s="67"/>
      <c r="B124" s="29"/>
      <c r="C124" s="34" t="s">
        <v>173</v>
      </c>
      <c r="D124" s="29">
        <f>SUM(D125:D126)</f>
        <v>2181</v>
      </c>
      <c r="E124" s="68"/>
    </row>
    <row r="125" spans="1:5" s="2" customFormat="1" ht="18.75" customHeight="1">
      <c r="A125" s="67"/>
      <c r="B125" s="29"/>
      <c r="C125" s="34" t="s">
        <v>94</v>
      </c>
      <c r="D125" s="29">
        <f>1203+200</f>
        <v>1403</v>
      </c>
      <c r="E125" s="68"/>
    </row>
    <row r="126" spans="1:5" s="2" customFormat="1" ht="18.75" customHeight="1">
      <c r="A126" s="67"/>
      <c r="B126" s="29"/>
      <c r="C126" s="34" t="s">
        <v>174</v>
      </c>
      <c r="D126" s="29">
        <v>778</v>
      </c>
      <c r="E126" s="68"/>
    </row>
    <row r="127" spans="1:5" s="2" customFormat="1" ht="18.75" customHeight="1">
      <c r="A127" s="67"/>
      <c r="B127" s="29"/>
      <c r="C127" s="34" t="s">
        <v>175</v>
      </c>
      <c r="D127" s="29">
        <f>SUM(D128:D128)</f>
        <v>925</v>
      </c>
      <c r="E127" s="68"/>
    </row>
    <row r="128" spans="1:5" s="2" customFormat="1" ht="18.75" customHeight="1">
      <c r="A128" s="67"/>
      <c r="B128" s="29"/>
      <c r="C128" s="34" t="s">
        <v>94</v>
      </c>
      <c r="D128" s="29">
        <f>825+100</f>
        <v>925</v>
      </c>
      <c r="E128" s="68"/>
    </row>
    <row r="129" spans="1:5" s="2" customFormat="1" ht="18.75" customHeight="1">
      <c r="A129" s="67"/>
      <c r="B129" s="29"/>
      <c r="C129" s="34" t="s">
        <v>176</v>
      </c>
      <c r="D129" s="29">
        <f>D130</f>
        <v>14641</v>
      </c>
      <c r="E129" s="68"/>
    </row>
    <row r="130" spans="1:5" s="2" customFormat="1" ht="27">
      <c r="A130" s="67"/>
      <c r="B130" s="29"/>
      <c r="C130" s="34" t="s">
        <v>177</v>
      </c>
      <c r="D130" s="29">
        <f>14141+500</f>
        <v>14641</v>
      </c>
      <c r="E130" s="68"/>
    </row>
    <row r="131" spans="1:5" s="2" customFormat="1" ht="18.75" customHeight="1">
      <c r="A131" s="67"/>
      <c r="B131" s="29"/>
      <c r="C131" s="34" t="s">
        <v>492</v>
      </c>
      <c r="D131" s="29">
        <f>D132</f>
        <v>46</v>
      </c>
      <c r="E131" s="68"/>
    </row>
    <row r="132" spans="1:5" s="2" customFormat="1" ht="18.75" customHeight="1">
      <c r="A132" s="67"/>
      <c r="B132" s="29"/>
      <c r="C132" s="34" t="s">
        <v>493</v>
      </c>
      <c r="D132" s="29">
        <v>46</v>
      </c>
      <c r="E132" s="68"/>
    </row>
    <row r="133" spans="1:5" s="2" customFormat="1" ht="18.75" customHeight="1">
      <c r="A133" s="67"/>
      <c r="B133" s="29"/>
      <c r="C133" s="34" t="s">
        <v>178</v>
      </c>
      <c r="D133" s="29">
        <f>SUM(D134:D135)</f>
        <v>1040</v>
      </c>
      <c r="E133" s="68"/>
    </row>
    <row r="134" spans="1:5" s="2" customFormat="1" ht="18.75" customHeight="1">
      <c r="A134" s="67"/>
      <c r="B134" s="29"/>
      <c r="C134" s="34" t="s">
        <v>494</v>
      </c>
      <c r="D134" s="29">
        <v>271</v>
      </c>
      <c r="E134" s="68"/>
    </row>
    <row r="135" spans="1:5" s="2" customFormat="1" ht="18.75" customHeight="1">
      <c r="A135" s="67"/>
      <c r="B135" s="29"/>
      <c r="C135" s="34" t="s">
        <v>495</v>
      </c>
      <c r="D135" s="29">
        <v>769</v>
      </c>
      <c r="E135" s="68"/>
    </row>
    <row r="136" spans="1:5" s="2" customFormat="1" ht="18.75" customHeight="1">
      <c r="A136" s="67"/>
      <c r="B136" s="29"/>
      <c r="C136" s="34" t="s">
        <v>179</v>
      </c>
      <c r="D136" s="29">
        <f>SUM(D137:D139)</f>
        <v>549</v>
      </c>
      <c r="E136" s="68"/>
    </row>
    <row r="137" spans="1:5" s="2" customFormat="1" ht="18.75" customHeight="1">
      <c r="A137" s="67"/>
      <c r="B137" s="29"/>
      <c r="C137" s="34" t="s">
        <v>180</v>
      </c>
      <c r="D137" s="29">
        <v>374</v>
      </c>
      <c r="E137" s="68"/>
    </row>
    <row r="138" spans="1:5" s="2" customFormat="1" ht="18.75" customHeight="1">
      <c r="A138" s="67"/>
      <c r="B138" s="29"/>
      <c r="C138" s="34" t="s">
        <v>181</v>
      </c>
      <c r="D138" s="29">
        <v>175</v>
      </c>
      <c r="E138" s="68"/>
    </row>
    <row r="139" spans="1:5" s="2" customFormat="1" ht="18.75" customHeight="1">
      <c r="A139" s="67"/>
      <c r="B139" s="29"/>
      <c r="C139" s="34" t="s">
        <v>182</v>
      </c>
      <c r="D139" s="29"/>
      <c r="E139" s="68"/>
    </row>
    <row r="140" spans="1:5" s="2" customFormat="1" ht="18.75" customHeight="1">
      <c r="A140" s="67"/>
      <c r="B140" s="29"/>
      <c r="C140" s="34" t="s">
        <v>183</v>
      </c>
      <c r="D140" s="29">
        <f>SUM(D141:D142)</f>
        <v>8</v>
      </c>
      <c r="E140" s="68"/>
    </row>
    <row r="141" spans="1:5" s="2" customFormat="1" ht="18.75" customHeight="1">
      <c r="A141" s="67"/>
      <c r="B141" s="29"/>
      <c r="C141" s="34" t="s">
        <v>184</v>
      </c>
      <c r="D141" s="29">
        <v>1</v>
      </c>
      <c r="E141" s="68"/>
    </row>
    <row r="142" spans="1:5" s="2" customFormat="1" ht="18.75" customHeight="1">
      <c r="A142" s="67"/>
      <c r="B142" s="29"/>
      <c r="C142" s="34" t="s">
        <v>185</v>
      </c>
      <c r="D142" s="29">
        <v>7</v>
      </c>
      <c r="E142" s="68"/>
    </row>
    <row r="143" spans="1:5" s="2" customFormat="1" ht="18.75" customHeight="1">
      <c r="A143" s="67"/>
      <c r="B143" s="29"/>
      <c r="C143" s="34" t="s">
        <v>186</v>
      </c>
      <c r="D143" s="29">
        <f>SUM(D144:D147)</f>
        <v>438</v>
      </c>
      <c r="E143" s="68"/>
    </row>
    <row r="144" spans="1:5" s="2" customFormat="1" ht="18.75" customHeight="1">
      <c r="A144" s="67"/>
      <c r="B144" s="29"/>
      <c r="C144" s="34" t="s">
        <v>187</v>
      </c>
      <c r="D144" s="29">
        <v>230</v>
      </c>
      <c r="E144" s="68"/>
    </row>
    <row r="145" spans="1:5" s="2" customFormat="1" ht="18.75" customHeight="1">
      <c r="A145" s="67"/>
      <c r="B145" s="29"/>
      <c r="C145" s="34" t="s">
        <v>188</v>
      </c>
      <c r="D145" s="29">
        <v>197</v>
      </c>
      <c r="E145" s="68"/>
    </row>
    <row r="146" spans="1:5" s="2" customFormat="1" ht="18.75" customHeight="1">
      <c r="A146" s="67"/>
      <c r="B146" s="29"/>
      <c r="C146" s="34" t="s">
        <v>189</v>
      </c>
      <c r="D146" s="29"/>
      <c r="E146" s="68"/>
    </row>
    <row r="147" spans="1:5" s="2" customFormat="1" ht="18.75" customHeight="1">
      <c r="A147" s="67"/>
      <c r="B147" s="29"/>
      <c r="C147" s="34" t="s">
        <v>190</v>
      </c>
      <c r="D147" s="29">
        <v>11</v>
      </c>
      <c r="E147" s="68"/>
    </row>
    <row r="148" spans="1:5" s="2" customFormat="1" ht="18.75" customHeight="1">
      <c r="A148" s="67"/>
      <c r="B148" s="29"/>
      <c r="C148" s="34" t="s">
        <v>191</v>
      </c>
      <c r="D148" s="29">
        <f>SUM(D149:D152)</f>
        <v>657</v>
      </c>
      <c r="E148" s="68"/>
    </row>
    <row r="149" spans="1:5" s="2" customFormat="1" ht="18.75" customHeight="1">
      <c r="A149" s="67"/>
      <c r="B149" s="29"/>
      <c r="C149" s="34" t="s">
        <v>94</v>
      </c>
      <c r="D149" s="29">
        <v>110</v>
      </c>
      <c r="E149" s="68"/>
    </row>
    <row r="150" spans="1:5" s="2" customFormat="1" ht="18.75" customHeight="1">
      <c r="A150" s="67"/>
      <c r="B150" s="29"/>
      <c r="C150" s="34" t="s">
        <v>192</v>
      </c>
      <c r="D150" s="29">
        <v>42</v>
      </c>
      <c r="E150" s="68"/>
    </row>
    <row r="151" spans="1:5" s="2" customFormat="1" ht="18.75" customHeight="1">
      <c r="A151" s="67"/>
      <c r="B151" s="29"/>
      <c r="C151" s="34" t="s">
        <v>496</v>
      </c>
      <c r="D151" s="29">
        <v>57</v>
      </c>
      <c r="E151" s="68"/>
    </row>
    <row r="152" spans="1:5" s="2" customFormat="1" ht="18.75" customHeight="1">
      <c r="A152" s="67"/>
      <c r="B152" s="29"/>
      <c r="C152" s="34" t="s">
        <v>193</v>
      </c>
      <c r="D152" s="29">
        <v>448</v>
      </c>
      <c r="E152" s="68"/>
    </row>
    <row r="153" spans="1:5" s="2" customFormat="1" ht="18.75" customHeight="1">
      <c r="A153" s="67"/>
      <c r="B153" s="29"/>
      <c r="C153" s="34" t="s">
        <v>497</v>
      </c>
      <c r="D153" s="29">
        <f>D154</f>
        <v>448</v>
      </c>
      <c r="E153" s="68"/>
    </row>
    <row r="154" spans="1:5" s="2" customFormat="1" ht="18.75" customHeight="1">
      <c r="A154" s="67"/>
      <c r="B154" s="29"/>
      <c r="C154" s="34" t="s">
        <v>498</v>
      </c>
      <c r="D154" s="29">
        <v>448</v>
      </c>
      <c r="E154" s="68"/>
    </row>
    <row r="155" spans="1:5" s="2" customFormat="1" ht="18.75" customHeight="1">
      <c r="A155" s="67"/>
      <c r="B155" s="29"/>
      <c r="C155" s="34" t="s">
        <v>499</v>
      </c>
      <c r="D155" s="29">
        <f>D156</f>
        <v>91</v>
      </c>
      <c r="E155" s="68"/>
    </row>
    <row r="156" spans="1:5" s="2" customFormat="1" ht="18.75" customHeight="1">
      <c r="A156" s="67"/>
      <c r="B156" s="29"/>
      <c r="C156" s="34" t="s">
        <v>500</v>
      </c>
      <c r="D156" s="29">
        <v>91</v>
      </c>
      <c r="E156" s="68"/>
    </row>
    <row r="157" spans="1:5" s="2" customFormat="1" ht="18.75" customHeight="1">
      <c r="A157" s="67"/>
      <c r="B157" s="29"/>
      <c r="C157" s="34" t="s">
        <v>194</v>
      </c>
      <c r="D157" s="29">
        <f>SUM(D158:D159)</f>
        <v>16894</v>
      </c>
      <c r="E157" s="68"/>
    </row>
    <row r="158" spans="1:5" s="2" customFormat="1" ht="18.75" customHeight="1">
      <c r="A158" s="67"/>
      <c r="B158" s="29"/>
      <c r="C158" s="34" t="s">
        <v>195</v>
      </c>
      <c r="D158" s="29">
        <f>4291+200+2000</f>
        <v>6491</v>
      </c>
      <c r="E158" s="68"/>
    </row>
    <row r="159" spans="1:5" s="2" customFormat="1" ht="18.75" customHeight="1">
      <c r="A159" s="67"/>
      <c r="B159" s="29"/>
      <c r="C159" s="34" t="s">
        <v>197</v>
      </c>
      <c r="D159" s="29">
        <f>7103+300+3000</f>
        <v>10403</v>
      </c>
      <c r="E159" s="68"/>
    </row>
    <row r="160" spans="1:5" s="2" customFormat="1" ht="18.75" customHeight="1">
      <c r="A160" s="67"/>
      <c r="B160" s="29"/>
      <c r="C160" s="69" t="s">
        <v>449</v>
      </c>
      <c r="D160" s="29">
        <f>SUM(D161:D162)</f>
        <v>2126</v>
      </c>
      <c r="E160" s="68"/>
    </row>
    <row r="161" spans="1:5" s="2" customFormat="1" ht="18.75" customHeight="1">
      <c r="A161" s="67"/>
      <c r="B161" s="29"/>
      <c r="C161" s="69" t="s">
        <v>450</v>
      </c>
      <c r="D161" s="29">
        <f>119+2000</f>
        <v>2119</v>
      </c>
      <c r="E161" s="68"/>
    </row>
    <row r="162" spans="1:5" s="2" customFormat="1" ht="18.75" customHeight="1">
      <c r="A162" s="67"/>
      <c r="B162" s="29"/>
      <c r="C162" s="34" t="s">
        <v>196</v>
      </c>
      <c r="D162" s="29">
        <v>7</v>
      </c>
      <c r="E162" s="68"/>
    </row>
    <row r="163" spans="1:5" s="2" customFormat="1" ht="18.75" customHeight="1">
      <c r="A163" s="67"/>
      <c r="B163" s="29"/>
      <c r="C163" s="69" t="s">
        <v>451</v>
      </c>
      <c r="D163" s="29">
        <f>D164</f>
        <v>19</v>
      </c>
      <c r="E163" s="68"/>
    </row>
    <row r="164" spans="1:5" s="2" customFormat="1" ht="18.75" customHeight="1">
      <c r="A164" s="67"/>
      <c r="B164" s="29"/>
      <c r="C164" s="69" t="s">
        <v>452</v>
      </c>
      <c r="D164" s="29">
        <v>19</v>
      </c>
      <c r="E164" s="68"/>
    </row>
    <row r="165" spans="1:5" s="2" customFormat="1" ht="18.75" customHeight="1">
      <c r="A165" s="67"/>
      <c r="B165" s="29"/>
      <c r="C165" s="69" t="s">
        <v>453</v>
      </c>
      <c r="D165" s="29">
        <f>D166</f>
        <v>1137</v>
      </c>
      <c r="E165" s="68"/>
    </row>
    <row r="166" spans="1:5" s="2" customFormat="1" ht="18.75" customHeight="1">
      <c r="A166" s="67"/>
      <c r="B166" s="29"/>
      <c r="C166" s="34" t="s">
        <v>198</v>
      </c>
      <c r="D166" s="29">
        <f>294+843</f>
        <v>1137</v>
      </c>
      <c r="E166" s="68"/>
    </row>
    <row r="167" spans="1:6" s="2" customFormat="1" ht="18.75" customHeight="1">
      <c r="A167" s="67"/>
      <c r="B167" s="29"/>
      <c r="C167" s="65" t="s">
        <v>367</v>
      </c>
      <c r="D167" s="28">
        <f>D168+D170+D174+D177+D184+D189+D191+D194</f>
        <v>23600</v>
      </c>
      <c r="E167" s="66"/>
      <c r="F167" s="27"/>
    </row>
    <row r="168" spans="1:5" s="2" customFormat="1" ht="18.75" customHeight="1">
      <c r="A168" s="67"/>
      <c r="B168" s="29"/>
      <c r="C168" s="34" t="s">
        <v>199</v>
      </c>
      <c r="D168" s="29">
        <f>D169</f>
        <v>1153</v>
      </c>
      <c r="E168" s="68"/>
    </row>
    <row r="169" spans="1:5" s="2" customFormat="1" ht="18.75" customHeight="1">
      <c r="A169" s="67"/>
      <c r="B169" s="29"/>
      <c r="C169" s="34" t="s">
        <v>94</v>
      </c>
      <c r="D169" s="29">
        <v>1153</v>
      </c>
      <c r="E169" s="68"/>
    </row>
    <row r="170" spans="1:5" s="2" customFormat="1" ht="18.75" customHeight="1">
      <c r="A170" s="67"/>
      <c r="B170" s="29"/>
      <c r="C170" s="34" t="s">
        <v>200</v>
      </c>
      <c r="D170" s="29">
        <f>SUM(D171:D173)</f>
        <v>6175</v>
      </c>
      <c r="E170" s="68"/>
    </row>
    <row r="171" spans="1:5" s="2" customFormat="1" ht="18.75" customHeight="1">
      <c r="A171" s="67"/>
      <c r="B171" s="29"/>
      <c r="C171" s="34" t="s">
        <v>201</v>
      </c>
      <c r="D171" s="29">
        <v>3929</v>
      </c>
      <c r="E171" s="68"/>
    </row>
    <row r="172" spans="1:5" s="2" customFormat="1" ht="18.75" customHeight="1">
      <c r="A172" s="67"/>
      <c r="B172" s="29"/>
      <c r="C172" s="34" t="s">
        <v>501</v>
      </c>
      <c r="D172" s="29">
        <v>1936</v>
      </c>
      <c r="E172" s="68"/>
    </row>
    <row r="173" spans="1:5" s="2" customFormat="1" ht="18.75" customHeight="1">
      <c r="A173" s="67"/>
      <c r="B173" s="29"/>
      <c r="C173" s="69" t="s">
        <v>454</v>
      </c>
      <c r="D173" s="29">
        <v>310</v>
      </c>
      <c r="E173" s="68"/>
    </row>
    <row r="174" spans="1:5" s="2" customFormat="1" ht="18.75" customHeight="1">
      <c r="A174" s="67"/>
      <c r="B174" s="29"/>
      <c r="C174" s="34" t="s">
        <v>202</v>
      </c>
      <c r="D174" s="29">
        <f>SUM(D175:D176)</f>
        <v>9015</v>
      </c>
      <c r="E174" s="68"/>
    </row>
    <row r="175" spans="1:5" s="2" customFormat="1" ht="18.75" customHeight="1">
      <c r="A175" s="67"/>
      <c r="B175" s="29"/>
      <c r="C175" s="34" t="s">
        <v>203</v>
      </c>
      <c r="D175" s="29">
        <f>8576</f>
        <v>8576</v>
      </c>
      <c r="E175" s="68"/>
    </row>
    <row r="176" spans="1:5" s="2" customFormat="1" ht="18.75" customHeight="1">
      <c r="A176" s="67"/>
      <c r="B176" s="29"/>
      <c r="C176" s="34" t="s">
        <v>204</v>
      </c>
      <c r="D176" s="29">
        <f>491-52</f>
        <v>439</v>
      </c>
      <c r="E176" s="68"/>
    </row>
    <row r="177" spans="1:5" s="2" customFormat="1" ht="18.75" customHeight="1">
      <c r="A177" s="67"/>
      <c r="B177" s="29"/>
      <c r="C177" s="34" t="s">
        <v>205</v>
      </c>
      <c r="D177" s="29">
        <f>SUM(D178:D183)</f>
        <v>3012</v>
      </c>
      <c r="E177" s="68"/>
    </row>
    <row r="178" spans="1:5" s="2" customFormat="1" ht="18.75" customHeight="1">
      <c r="A178" s="67"/>
      <c r="B178" s="29"/>
      <c r="C178" s="34" t="s">
        <v>206</v>
      </c>
      <c r="D178" s="29">
        <v>675</v>
      </c>
      <c r="E178" s="68"/>
    </row>
    <row r="179" spans="1:5" s="2" customFormat="1" ht="18.75" customHeight="1">
      <c r="A179" s="67"/>
      <c r="B179" s="29"/>
      <c r="C179" s="69" t="s">
        <v>455</v>
      </c>
      <c r="D179" s="29"/>
      <c r="E179" s="68"/>
    </row>
    <row r="180" spans="1:5" s="2" customFormat="1" ht="18.75" customHeight="1">
      <c r="A180" s="67"/>
      <c r="B180" s="29"/>
      <c r="C180" s="34" t="s">
        <v>207</v>
      </c>
      <c r="D180" s="29">
        <v>520</v>
      </c>
      <c r="E180" s="68"/>
    </row>
    <row r="181" spans="1:5" s="2" customFormat="1" ht="18.75" customHeight="1">
      <c r="A181" s="67"/>
      <c r="B181" s="29"/>
      <c r="C181" s="34" t="s">
        <v>208</v>
      </c>
      <c r="D181" s="29">
        <f>1125+300</f>
        <v>1425</v>
      </c>
      <c r="E181" s="68"/>
    </row>
    <row r="182" spans="1:5" s="2" customFormat="1" ht="18.75" customHeight="1">
      <c r="A182" s="67"/>
      <c r="B182" s="29"/>
      <c r="C182" s="34" t="s">
        <v>209</v>
      </c>
      <c r="D182" s="29">
        <v>392</v>
      </c>
      <c r="E182" s="68"/>
    </row>
    <row r="183" spans="1:5" s="2" customFormat="1" ht="18.75" customHeight="1">
      <c r="A183" s="67"/>
      <c r="B183" s="29"/>
      <c r="C183" s="69" t="s">
        <v>456</v>
      </c>
      <c r="D183" s="29"/>
      <c r="E183" s="68"/>
    </row>
    <row r="184" spans="1:5" s="2" customFormat="1" ht="18.75" customHeight="1">
      <c r="A184" s="67"/>
      <c r="B184" s="29"/>
      <c r="C184" s="34" t="s">
        <v>210</v>
      </c>
      <c r="D184" s="29">
        <f>SUM(D185:D188)</f>
        <v>1298</v>
      </c>
      <c r="E184" s="68"/>
    </row>
    <row r="185" spans="1:5" s="2" customFormat="1" ht="18.75" customHeight="1">
      <c r="A185" s="67"/>
      <c r="B185" s="29"/>
      <c r="C185" s="34" t="s">
        <v>211</v>
      </c>
      <c r="D185" s="29">
        <v>25</v>
      </c>
      <c r="E185" s="68"/>
    </row>
    <row r="186" spans="1:5" s="2" customFormat="1" ht="18.75" customHeight="1">
      <c r="A186" s="67"/>
      <c r="B186" s="29"/>
      <c r="C186" s="34" t="s">
        <v>212</v>
      </c>
      <c r="D186" s="29"/>
      <c r="E186" s="68"/>
    </row>
    <row r="187" spans="1:5" s="2" customFormat="1" ht="18.75" customHeight="1">
      <c r="A187" s="67"/>
      <c r="B187" s="29"/>
      <c r="C187" s="34" t="s">
        <v>213</v>
      </c>
      <c r="D187" s="29"/>
      <c r="E187" s="68"/>
    </row>
    <row r="188" spans="1:5" s="2" customFormat="1" ht="18.75" customHeight="1">
      <c r="A188" s="67"/>
      <c r="B188" s="29"/>
      <c r="C188" s="34" t="s">
        <v>214</v>
      </c>
      <c r="D188" s="29">
        <v>1273</v>
      </c>
      <c r="E188" s="68"/>
    </row>
    <row r="189" spans="1:5" s="2" customFormat="1" ht="18.75" customHeight="1">
      <c r="A189" s="67"/>
      <c r="B189" s="29"/>
      <c r="C189" s="34" t="s">
        <v>215</v>
      </c>
      <c r="D189" s="29">
        <f>D190</f>
        <v>10</v>
      </c>
      <c r="E189" s="68"/>
    </row>
    <row r="190" spans="1:5" s="2" customFormat="1" ht="18.75" customHeight="1">
      <c r="A190" s="67"/>
      <c r="B190" s="29"/>
      <c r="C190" s="34" t="s">
        <v>216</v>
      </c>
      <c r="D190" s="29">
        <v>10</v>
      </c>
      <c r="E190" s="68"/>
    </row>
    <row r="191" spans="1:5" s="2" customFormat="1" ht="18.75" customHeight="1">
      <c r="A191" s="67"/>
      <c r="B191" s="29"/>
      <c r="C191" s="34" t="s">
        <v>217</v>
      </c>
      <c r="D191" s="29">
        <f>SUM(D192:D193)</f>
        <v>2739</v>
      </c>
      <c r="E191" s="68"/>
    </row>
    <row r="192" spans="1:5" s="2" customFormat="1" ht="18.75" customHeight="1">
      <c r="A192" s="67"/>
      <c r="B192" s="29"/>
      <c r="C192" s="34" t="s">
        <v>502</v>
      </c>
      <c r="D192" s="29">
        <v>1</v>
      </c>
      <c r="E192" s="68"/>
    </row>
    <row r="193" spans="1:5" s="2" customFormat="1" ht="18.75" customHeight="1">
      <c r="A193" s="67"/>
      <c r="B193" s="29"/>
      <c r="C193" s="34" t="s">
        <v>218</v>
      </c>
      <c r="D193" s="29">
        <v>2738</v>
      </c>
      <c r="E193" s="68"/>
    </row>
    <row r="194" spans="1:5" s="2" customFormat="1" ht="18.75" customHeight="1">
      <c r="A194" s="67"/>
      <c r="B194" s="29"/>
      <c r="C194" s="34" t="s">
        <v>219</v>
      </c>
      <c r="D194" s="29">
        <f>D195</f>
        <v>198</v>
      </c>
      <c r="E194" s="68"/>
    </row>
    <row r="195" spans="1:5" s="2" customFormat="1" ht="18.75" customHeight="1">
      <c r="A195" s="70"/>
      <c r="B195" s="33"/>
      <c r="C195" s="32" t="s">
        <v>94</v>
      </c>
      <c r="D195" s="33">
        <v>198</v>
      </c>
      <c r="E195" s="71"/>
    </row>
    <row r="196" spans="1:6" s="2" customFormat="1" ht="18.75" customHeight="1">
      <c r="A196" s="67"/>
      <c r="B196" s="29"/>
      <c r="C196" s="65" t="s">
        <v>368</v>
      </c>
      <c r="D196" s="28">
        <f>D197+D199+D202+D204+D206+D210+D212+D214</f>
        <v>2760</v>
      </c>
      <c r="E196" s="66"/>
      <c r="F196" s="27"/>
    </row>
    <row r="197" spans="1:5" s="2" customFormat="1" ht="18.75" customHeight="1">
      <c r="A197" s="67"/>
      <c r="B197" s="29"/>
      <c r="C197" s="34" t="s">
        <v>220</v>
      </c>
      <c r="D197" s="29">
        <f>D198</f>
        <v>498</v>
      </c>
      <c r="E197" s="68"/>
    </row>
    <row r="198" spans="1:5" s="2" customFormat="1" ht="18.75" customHeight="1">
      <c r="A198" s="67"/>
      <c r="B198" s="29"/>
      <c r="C198" s="34" t="s">
        <v>94</v>
      </c>
      <c r="D198" s="29">
        <f>598-100</f>
        <v>498</v>
      </c>
      <c r="E198" s="68"/>
    </row>
    <row r="199" spans="1:5" s="2" customFormat="1" ht="18.75" customHeight="1">
      <c r="A199" s="67"/>
      <c r="B199" s="29"/>
      <c r="C199" s="34" t="s">
        <v>221</v>
      </c>
      <c r="D199" s="29">
        <f>SUM(D200:D201)</f>
        <v>294</v>
      </c>
      <c r="E199" s="68"/>
    </row>
    <row r="200" spans="1:5" s="2" customFormat="1" ht="18.75" customHeight="1">
      <c r="A200" s="67"/>
      <c r="B200" s="29"/>
      <c r="C200" s="34" t="s">
        <v>222</v>
      </c>
      <c r="D200" s="29">
        <f>760+100-600</f>
        <v>260</v>
      </c>
      <c r="E200" s="68"/>
    </row>
    <row r="201" spans="1:5" s="2" customFormat="1" ht="18.75" customHeight="1">
      <c r="A201" s="67"/>
      <c r="B201" s="29"/>
      <c r="C201" s="34" t="s">
        <v>223</v>
      </c>
      <c r="D201" s="29">
        <v>34</v>
      </c>
      <c r="E201" s="68"/>
    </row>
    <row r="202" spans="1:5" s="2" customFormat="1" ht="18.75" customHeight="1">
      <c r="A202" s="67"/>
      <c r="B202" s="29"/>
      <c r="C202" s="34" t="s">
        <v>224</v>
      </c>
      <c r="D202" s="29">
        <f>D203</f>
        <v>313</v>
      </c>
      <c r="E202" s="68"/>
    </row>
    <row r="203" spans="1:5" s="2" customFormat="1" ht="18.75" customHeight="1">
      <c r="A203" s="67"/>
      <c r="B203" s="29"/>
      <c r="C203" s="34" t="s">
        <v>225</v>
      </c>
      <c r="D203" s="29">
        <f>513+100-300</f>
        <v>313</v>
      </c>
      <c r="E203" s="68"/>
    </row>
    <row r="204" spans="1:5" s="2" customFormat="1" ht="18.75" customHeight="1">
      <c r="A204" s="67"/>
      <c r="B204" s="29"/>
      <c r="C204" s="34" t="s">
        <v>503</v>
      </c>
      <c r="D204" s="29">
        <f>D205</f>
        <v>813</v>
      </c>
      <c r="E204" s="68"/>
    </row>
    <row r="205" spans="1:5" s="2" customFormat="1" ht="18.75" customHeight="1">
      <c r="A205" s="67"/>
      <c r="B205" s="29"/>
      <c r="C205" s="34" t="s">
        <v>504</v>
      </c>
      <c r="D205" s="29">
        <f>513+300</f>
        <v>813</v>
      </c>
      <c r="E205" s="68"/>
    </row>
    <row r="206" spans="1:5" s="2" customFormat="1" ht="18.75" customHeight="1">
      <c r="A206" s="67"/>
      <c r="B206" s="29"/>
      <c r="C206" s="34" t="s">
        <v>226</v>
      </c>
      <c r="D206" s="29">
        <f>SUM(D207:D209)</f>
        <v>842</v>
      </c>
      <c r="E206" s="68"/>
    </row>
    <row r="207" spans="1:5" s="2" customFormat="1" ht="18.75" customHeight="1">
      <c r="A207" s="67"/>
      <c r="B207" s="29"/>
      <c r="C207" s="34" t="s">
        <v>227</v>
      </c>
      <c r="D207" s="29">
        <f>396-100</f>
        <v>296</v>
      </c>
      <c r="E207" s="68"/>
    </row>
    <row r="208" spans="1:5" s="2" customFormat="1" ht="18.75" customHeight="1">
      <c r="A208" s="67"/>
      <c r="B208" s="29"/>
      <c r="C208" s="34" t="s">
        <v>505</v>
      </c>
      <c r="D208" s="29">
        <f>1866+100-1420</f>
        <v>546</v>
      </c>
      <c r="E208" s="68"/>
    </row>
    <row r="209" spans="1:5" s="2" customFormat="1" ht="18.75" customHeight="1">
      <c r="A209" s="67"/>
      <c r="B209" s="29"/>
      <c r="C209" s="34" t="s">
        <v>228</v>
      </c>
      <c r="D209" s="29"/>
      <c r="E209" s="68"/>
    </row>
    <row r="210" spans="1:5" s="2" customFormat="1" ht="18.75" customHeight="1">
      <c r="A210" s="67"/>
      <c r="B210" s="29"/>
      <c r="C210" s="34" t="s">
        <v>229</v>
      </c>
      <c r="D210" s="29">
        <f>D211</f>
        <v>0</v>
      </c>
      <c r="E210" s="68"/>
    </row>
    <row r="211" spans="1:5" s="2" customFormat="1" ht="18.75" customHeight="1">
      <c r="A211" s="67"/>
      <c r="B211" s="29"/>
      <c r="C211" s="34" t="s">
        <v>230</v>
      </c>
      <c r="D211" s="29"/>
      <c r="E211" s="68"/>
    </row>
    <row r="212" spans="1:5" s="2" customFormat="1" ht="18.75" customHeight="1">
      <c r="A212" s="67"/>
      <c r="B212" s="29"/>
      <c r="C212" s="34" t="s">
        <v>231</v>
      </c>
      <c r="D212" s="29">
        <f>D213</f>
        <v>0</v>
      </c>
      <c r="E212" s="68"/>
    </row>
    <row r="213" spans="1:5" s="2" customFormat="1" ht="18.75" customHeight="1">
      <c r="A213" s="67"/>
      <c r="B213" s="29"/>
      <c r="C213" s="34" t="s">
        <v>232</v>
      </c>
      <c r="D213" s="29"/>
      <c r="E213" s="68"/>
    </row>
    <row r="214" spans="1:5" s="2" customFormat="1" ht="18.75" customHeight="1">
      <c r="A214" s="67"/>
      <c r="B214" s="29"/>
      <c r="C214" s="34" t="s">
        <v>233</v>
      </c>
      <c r="D214" s="29">
        <f>SUM(D215:D216)</f>
        <v>0</v>
      </c>
      <c r="E214" s="68"/>
    </row>
    <row r="215" spans="1:5" s="2" customFormat="1" ht="18.75" customHeight="1">
      <c r="A215" s="67"/>
      <c r="B215" s="29"/>
      <c r="C215" s="34" t="s">
        <v>234</v>
      </c>
      <c r="D215" s="29"/>
      <c r="E215" s="68"/>
    </row>
    <row r="216" spans="1:5" s="2" customFormat="1" ht="18.75" customHeight="1">
      <c r="A216" s="67"/>
      <c r="B216" s="29"/>
      <c r="C216" s="34" t="s">
        <v>235</v>
      </c>
      <c r="D216" s="29"/>
      <c r="E216" s="68"/>
    </row>
    <row r="217" spans="1:6" s="2" customFormat="1" ht="18.75" customHeight="1">
      <c r="A217" s="67"/>
      <c r="B217" s="29"/>
      <c r="C217" s="65" t="s">
        <v>369</v>
      </c>
      <c r="D217" s="28">
        <f>D218+D224+D226+D228</f>
        <v>6460</v>
      </c>
      <c r="E217" s="66"/>
      <c r="F217" s="27"/>
    </row>
    <row r="218" spans="1:5" s="2" customFormat="1" ht="18.75" customHeight="1">
      <c r="A218" s="67"/>
      <c r="B218" s="29"/>
      <c r="C218" s="34" t="s">
        <v>236</v>
      </c>
      <c r="D218" s="29">
        <f>SUM(D219:D223)</f>
        <v>4064</v>
      </c>
      <c r="E218" s="68"/>
    </row>
    <row r="219" spans="1:5" s="2" customFormat="1" ht="18.75" customHeight="1">
      <c r="A219" s="67"/>
      <c r="B219" s="29"/>
      <c r="C219" s="34" t="s">
        <v>94</v>
      </c>
      <c r="D219" s="29">
        <f>1853+100</f>
        <v>1953</v>
      </c>
      <c r="E219" s="68"/>
    </row>
    <row r="220" spans="1:5" s="2" customFormat="1" ht="18.75" customHeight="1">
      <c r="A220" s="67"/>
      <c r="B220" s="29"/>
      <c r="C220" s="34" t="s">
        <v>95</v>
      </c>
      <c r="D220" s="29"/>
      <c r="E220" s="68"/>
    </row>
    <row r="221" spans="1:5" s="2" customFormat="1" ht="18.75" customHeight="1">
      <c r="A221" s="67"/>
      <c r="B221" s="29"/>
      <c r="C221" s="34" t="s">
        <v>237</v>
      </c>
      <c r="D221" s="29">
        <f>842+200</f>
        <v>1042</v>
      </c>
      <c r="E221" s="68"/>
    </row>
    <row r="222" spans="1:5" s="2" customFormat="1" ht="18.75" customHeight="1">
      <c r="A222" s="67"/>
      <c r="B222" s="29"/>
      <c r="C222" s="34" t="s">
        <v>238</v>
      </c>
      <c r="D222" s="29">
        <v>765</v>
      </c>
      <c r="E222" s="68"/>
    </row>
    <row r="223" spans="1:5" s="2" customFormat="1" ht="18.75" customHeight="1">
      <c r="A223" s="67"/>
      <c r="B223" s="29"/>
      <c r="C223" s="34" t="s">
        <v>239</v>
      </c>
      <c r="D223" s="29">
        <v>304</v>
      </c>
      <c r="E223" s="68"/>
    </row>
    <row r="224" spans="1:5" s="2" customFormat="1" ht="18.75" customHeight="1">
      <c r="A224" s="67"/>
      <c r="B224" s="29"/>
      <c r="C224" s="34" t="s">
        <v>240</v>
      </c>
      <c r="D224" s="29">
        <f>D225</f>
        <v>56</v>
      </c>
      <c r="E224" s="68"/>
    </row>
    <row r="225" spans="1:5" s="2" customFormat="1" ht="18.75" customHeight="1">
      <c r="A225" s="67"/>
      <c r="B225" s="29"/>
      <c r="C225" s="34" t="s">
        <v>241</v>
      </c>
      <c r="D225" s="29">
        <v>56</v>
      </c>
      <c r="E225" s="68"/>
    </row>
    <row r="226" spans="1:5" s="2" customFormat="1" ht="18.75" customHeight="1">
      <c r="A226" s="67"/>
      <c r="B226" s="29"/>
      <c r="C226" s="34" t="s">
        <v>242</v>
      </c>
      <c r="D226" s="29">
        <f>D227</f>
        <v>1927</v>
      </c>
      <c r="E226" s="68"/>
    </row>
    <row r="227" spans="1:5" s="2" customFormat="1" ht="18.75" customHeight="1">
      <c r="A227" s="67"/>
      <c r="B227" s="29"/>
      <c r="C227" s="34" t="s">
        <v>243</v>
      </c>
      <c r="D227" s="29">
        <f>1832+95</f>
        <v>1927</v>
      </c>
      <c r="E227" s="68"/>
    </row>
    <row r="228" spans="1:5" s="2" customFormat="1" ht="18.75" customHeight="1">
      <c r="A228" s="67"/>
      <c r="B228" s="29"/>
      <c r="C228" s="34" t="s">
        <v>244</v>
      </c>
      <c r="D228" s="29">
        <f>D229</f>
        <v>413</v>
      </c>
      <c r="E228" s="68"/>
    </row>
    <row r="229" spans="1:5" s="2" customFormat="1" ht="18.75" customHeight="1">
      <c r="A229" s="67"/>
      <c r="B229" s="29"/>
      <c r="C229" s="34" t="s">
        <v>245</v>
      </c>
      <c r="D229" s="29">
        <v>413</v>
      </c>
      <c r="E229" s="68"/>
    </row>
    <row r="230" spans="1:6" s="2" customFormat="1" ht="18.75" customHeight="1">
      <c r="A230" s="67"/>
      <c r="B230" s="29"/>
      <c r="C230" s="65" t="s">
        <v>370</v>
      </c>
      <c r="D230" s="28">
        <f>D231+D247+D256+D266+D273+D278+D283+D288</f>
        <v>67280</v>
      </c>
      <c r="E230" s="66"/>
      <c r="F230" s="27"/>
    </row>
    <row r="231" spans="1:5" s="2" customFormat="1" ht="18.75" customHeight="1">
      <c r="A231" s="67"/>
      <c r="B231" s="29"/>
      <c r="C231" s="34" t="s">
        <v>246</v>
      </c>
      <c r="D231" s="29">
        <f>SUM(D232:D246)</f>
        <v>21577</v>
      </c>
      <c r="E231" s="68"/>
    </row>
    <row r="232" spans="1:5" s="2" customFormat="1" ht="18.75" customHeight="1">
      <c r="A232" s="67"/>
      <c r="B232" s="29"/>
      <c r="C232" s="34" t="s">
        <v>94</v>
      </c>
      <c r="D232" s="29">
        <v>2826</v>
      </c>
      <c r="E232" s="68"/>
    </row>
    <row r="233" spans="1:5" s="2" customFormat="1" ht="18.75" customHeight="1">
      <c r="A233" s="67"/>
      <c r="B233" s="29"/>
      <c r="C233" s="34" t="s">
        <v>96</v>
      </c>
      <c r="D233" s="29">
        <f>8693+500</f>
        <v>9193</v>
      </c>
      <c r="E233" s="68"/>
    </row>
    <row r="234" spans="1:5" s="2" customFormat="1" ht="18.75" customHeight="1">
      <c r="A234" s="67"/>
      <c r="B234" s="29"/>
      <c r="C234" s="34" t="s">
        <v>506</v>
      </c>
      <c r="D234" s="29">
        <v>1475</v>
      </c>
      <c r="E234" s="68"/>
    </row>
    <row r="235" spans="1:5" s="2" customFormat="1" ht="18.75" customHeight="1">
      <c r="A235" s="67"/>
      <c r="B235" s="29"/>
      <c r="C235" s="34" t="s">
        <v>247</v>
      </c>
      <c r="D235" s="29">
        <v>163</v>
      </c>
      <c r="E235" s="68"/>
    </row>
    <row r="236" spans="1:5" s="2" customFormat="1" ht="18.75" customHeight="1">
      <c r="A236" s="67"/>
      <c r="B236" s="29"/>
      <c r="C236" s="69" t="s">
        <v>457</v>
      </c>
      <c r="D236" s="29"/>
      <c r="E236" s="68"/>
    </row>
    <row r="237" spans="1:5" s="2" customFormat="1" ht="18.75" customHeight="1">
      <c r="A237" s="67"/>
      <c r="B237" s="29"/>
      <c r="C237" s="34" t="s">
        <v>248</v>
      </c>
      <c r="D237" s="29">
        <v>1</v>
      </c>
      <c r="E237" s="68"/>
    </row>
    <row r="238" spans="1:5" s="2" customFormat="1" ht="18.75" customHeight="1">
      <c r="A238" s="67"/>
      <c r="B238" s="29"/>
      <c r="C238" s="34" t="s">
        <v>507</v>
      </c>
      <c r="D238" s="29">
        <v>308</v>
      </c>
      <c r="E238" s="68"/>
    </row>
    <row r="239" spans="1:5" s="2" customFormat="1" ht="18.75" customHeight="1">
      <c r="A239" s="67"/>
      <c r="B239" s="29"/>
      <c r="C239" s="34" t="s">
        <v>249</v>
      </c>
      <c r="D239" s="29"/>
      <c r="E239" s="68"/>
    </row>
    <row r="240" spans="1:5" s="2" customFormat="1" ht="18.75" customHeight="1">
      <c r="A240" s="67"/>
      <c r="B240" s="29"/>
      <c r="C240" s="34" t="s">
        <v>250</v>
      </c>
      <c r="D240" s="29">
        <v>975</v>
      </c>
      <c r="E240" s="68"/>
    </row>
    <row r="241" spans="1:5" s="2" customFormat="1" ht="18.75" customHeight="1">
      <c r="A241" s="67"/>
      <c r="B241" s="29"/>
      <c r="C241" s="34" t="s">
        <v>251</v>
      </c>
      <c r="D241" s="29">
        <v>2000</v>
      </c>
      <c r="E241" s="68"/>
    </row>
    <row r="242" spans="1:5" s="2" customFormat="1" ht="18.75" customHeight="1">
      <c r="A242" s="67"/>
      <c r="B242" s="29"/>
      <c r="C242" s="34" t="s">
        <v>252</v>
      </c>
      <c r="D242" s="29">
        <v>188</v>
      </c>
      <c r="E242" s="68"/>
    </row>
    <row r="243" spans="1:5" s="2" customFormat="1" ht="18.75" customHeight="1">
      <c r="A243" s="67"/>
      <c r="B243" s="29"/>
      <c r="C243" s="34" t="s">
        <v>253</v>
      </c>
      <c r="D243" s="29"/>
      <c r="E243" s="68"/>
    </row>
    <row r="244" spans="1:5" s="2" customFormat="1" ht="18.75" customHeight="1">
      <c r="A244" s="67"/>
      <c r="B244" s="29"/>
      <c r="C244" s="34" t="s">
        <v>254</v>
      </c>
      <c r="D244" s="29">
        <v>2553</v>
      </c>
      <c r="E244" s="68"/>
    </row>
    <row r="245" spans="1:5" s="2" customFormat="1" ht="18.75" customHeight="1">
      <c r="A245" s="67"/>
      <c r="B245" s="29"/>
      <c r="C245" s="34" t="s">
        <v>255</v>
      </c>
      <c r="D245" s="29">
        <v>382</v>
      </c>
      <c r="E245" s="68"/>
    </row>
    <row r="246" spans="1:5" s="2" customFormat="1" ht="18.75" customHeight="1">
      <c r="A246" s="67"/>
      <c r="B246" s="29"/>
      <c r="C246" s="34" t="s">
        <v>256</v>
      </c>
      <c r="D246" s="29">
        <v>1513</v>
      </c>
      <c r="E246" s="68"/>
    </row>
    <row r="247" spans="1:5" s="2" customFormat="1" ht="18.75" customHeight="1">
      <c r="A247" s="67"/>
      <c r="B247" s="29"/>
      <c r="C247" s="34" t="s">
        <v>257</v>
      </c>
      <c r="D247" s="29">
        <f>SUM(D248:D255)</f>
        <v>3120</v>
      </c>
      <c r="E247" s="68"/>
    </row>
    <row r="248" spans="1:5" s="2" customFormat="1" ht="18.75" customHeight="1">
      <c r="A248" s="67"/>
      <c r="B248" s="29"/>
      <c r="C248" s="34" t="s">
        <v>94</v>
      </c>
      <c r="D248" s="29">
        <v>182</v>
      </c>
      <c r="E248" s="68"/>
    </row>
    <row r="249" spans="1:5" s="2" customFormat="1" ht="18.75" customHeight="1">
      <c r="A249" s="67"/>
      <c r="B249" s="29"/>
      <c r="C249" s="34" t="s">
        <v>258</v>
      </c>
      <c r="D249" s="29">
        <v>1050</v>
      </c>
      <c r="E249" s="68"/>
    </row>
    <row r="250" spans="1:5" s="2" customFormat="1" ht="18.75" customHeight="1">
      <c r="A250" s="67"/>
      <c r="B250" s="29"/>
      <c r="C250" s="34" t="s">
        <v>259</v>
      </c>
      <c r="D250" s="29">
        <v>1050</v>
      </c>
      <c r="E250" s="68"/>
    </row>
    <row r="251" spans="1:5" s="2" customFormat="1" ht="18.75" customHeight="1">
      <c r="A251" s="67"/>
      <c r="B251" s="29"/>
      <c r="C251" s="34" t="s">
        <v>260</v>
      </c>
      <c r="D251" s="29"/>
      <c r="E251" s="68"/>
    </row>
    <row r="252" spans="1:5" s="2" customFormat="1" ht="18.75" customHeight="1">
      <c r="A252" s="67"/>
      <c r="B252" s="29"/>
      <c r="C252" s="34" t="s">
        <v>261</v>
      </c>
      <c r="D252" s="29">
        <v>304</v>
      </c>
      <c r="E252" s="68"/>
    </row>
    <row r="253" spans="1:5" s="2" customFormat="1" ht="18.75" customHeight="1">
      <c r="A253" s="67"/>
      <c r="B253" s="29"/>
      <c r="C253" s="34" t="s">
        <v>262</v>
      </c>
      <c r="D253" s="29">
        <v>183</v>
      </c>
      <c r="E253" s="68"/>
    </row>
    <row r="254" spans="1:5" s="2" customFormat="1" ht="18.75" customHeight="1">
      <c r="A254" s="67"/>
      <c r="B254" s="29"/>
      <c r="C254" s="34" t="s">
        <v>263</v>
      </c>
      <c r="D254" s="29"/>
      <c r="E254" s="68"/>
    </row>
    <row r="255" spans="1:5" s="2" customFormat="1" ht="18.75" customHeight="1">
      <c r="A255" s="67"/>
      <c r="B255" s="29"/>
      <c r="C255" s="34" t="s">
        <v>264</v>
      </c>
      <c r="D255" s="29">
        <v>351</v>
      </c>
      <c r="E255" s="68"/>
    </row>
    <row r="256" spans="1:5" s="2" customFormat="1" ht="18.75" customHeight="1">
      <c r="A256" s="67"/>
      <c r="B256" s="29"/>
      <c r="C256" s="34" t="s">
        <v>265</v>
      </c>
      <c r="D256" s="29">
        <f>SUM(D257:D265)</f>
        <v>15824</v>
      </c>
      <c r="E256" s="68"/>
    </row>
    <row r="257" spans="1:5" s="2" customFormat="1" ht="18.75" customHeight="1">
      <c r="A257" s="67"/>
      <c r="B257" s="29"/>
      <c r="C257" s="34" t="s">
        <v>94</v>
      </c>
      <c r="D257" s="29">
        <v>2551</v>
      </c>
      <c r="E257" s="68"/>
    </row>
    <row r="258" spans="1:5" s="2" customFormat="1" ht="18.75" customHeight="1">
      <c r="A258" s="67"/>
      <c r="B258" s="29"/>
      <c r="C258" s="34" t="s">
        <v>266</v>
      </c>
      <c r="D258" s="29">
        <f>4878+500+2000</f>
        <v>7378</v>
      </c>
      <c r="E258" s="68"/>
    </row>
    <row r="259" spans="1:5" s="2" customFormat="1" ht="18.75" customHeight="1">
      <c r="A259" s="67"/>
      <c r="B259" s="29"/>
      <c r="C259" s="34" t="s">
        <v>267</v>
      </c>
      <c r="D259" s="29">
        <v>431</v>
      </c>
      <c r="E259" s="68"/>
    </row>
    <row r="260" spans="1:5" s="2" customFormat="1" ht="18.75" customHeight="1">
      <c r="A260" s="67"/>
      <c r="B260" s="29"/>
      <c r="C260" s="34" t="s">
        <v>268</v>
      </c>
      <c r="D260" s="29">
        <v>161</v>
      </c>
      <c r="E260" s="68"/>
    </row>
    <row r="261" spans="1:5" s="2" customFormat="1" ht="18.75" customHeight="1">
      <c r="A261" s="67"/>
      <c r="B261" s="29"/>
      <c r="C261" s="34" t="s">
        <v>269</v>
      </c>
      <c r="D261" s="29">
        <v>89</v>
      </c>
      <c r="E261" s="68"/>
    </row>
    <row r="262" spans="1:5" s="2" customFormat="1" ht="18.75" customHeight="1">
      <c r="A262" s="67"/>
      <c r="B262" s="29"/>
      <c r="C262" s="34" t="s">
        <v>508</v>
      </c>
      <c r="D262" s="29">
        <f>2584+1000</f>
        <v>3584</v>
      </c>
      <c r="E262" s="68"/>
    </row>
    <row r="263" spans="1:5" s="2" customFormat="1" ht="18.75" customHeight="1">
      <c r="A263" s="67"/>
      <c r="B263" s="29"/>
      <c r="C263" s="34" t="s">
        <v>270</v>
      </c>
      <c r="D263" s="29">
        <v>230</v>
      </c>
      <c r="E263" s="68"/>
    </row>
    <row r="264" spans="1:5" s="2" customFormat="1" ht="18.75" customHeight="1">
      <c r="A264" s="67"/>
      <c r="B264" s="29"/>
      <c r="C264" s="34" t="s">
        <v>509</v>
      </c>
      <c r="D264" s="29">
        <v>827</v>
      </c>
      <c r="E264" s="68"/>
    </row>
    <row r="265" spans="1:5" s="2" customFormat="1" ht="18.75" customHeight="1">
      <c r="A265" s="67"/>
      <c r="B265" s="29"/>
      <c r="C265" s="34" t="s">
        <v>271</v>
      </c>
      <c r="D265" s="29">
        <v>573</v>
      </c>
      <c r="E265" s="68"/>
    </row>
    <row r="266" spans="1:5" s="2" customFormat="1" ht="18.75" customHeight="1">
      <c r="A266" s="67"/>
      <c r="B266" s="29"/>
      <c r="C266" s="34" t="s">
        <v>272</v>
      </c>
      <c r="D266" s="29">
        <f>SUM(D267:D272)</f>
        <v>22716</v>
      </c>
      <c r="E266" s="68"/>
    </row>
    <row r="267" spans="1:5" s="2" customFormat="1" ht="18.75" customHeight="1">
      <c r="A267" s="67"/>
      <c r="B267" s="29"/>
      <c r="C267" s="34" t="s">
        <v>94</v>
      </c>
      <c r="D267" s="29">
        <v>225</v>
      </c>
      <c r="E267" s="68"/>
    </row>
    <row r="268" spans="1:5" s="2" customFormat="1" ht="18.75" customHeight="1">
      <c r="A268" s="67"/>
      <c r="B268" s="29"/>
      <c r="C268" s="34" t="s">
        <v>95</v>
      </c>
      <c r="D268" s="29">
        <v>20</v>
      </c>
      <c r="E268" s="68"/>
    </row>
    <row r="269" spans="1:5" s="2" customFormat="1" ht="18.75" customHeight="1">
      <c r="A269" s="67"/>
      <c r="B269" s="29"/>
      <c r="C269" s="34" t="s">
        <v>273</v>
      </c>
      <c r="D269" s="29">
        <f>3088+1000+2000</f>
        <v>6088</v>
      </c>
      <c r="E269" s="68"/>
    </row>
    <row r="270" spans="1:5" s="2" customFormat="1" ht="18.75" customHeight="1">
      <c r="A270" s="67"/>
      <c r="B270" s="29"/>
      <c r="C270" s="34" t="s">
        <v>274</v>
      </c>
      <c r="D270" s="29">
        <f>4261+3000</f>
        <v>7261</v>
      </c>
      <c r="E270" s="68"/>
    </row>
    <row r="271" spans="1:5" s="2" customFormat="1" ht="18.75" customHeight="1">
      <c r="A271" s="70"/>
      <c r="B271" s="33"/>
      <c r="C271" s="32" t="s">
        <v>275</v>
      </c>
      <c r="D271" s="33"/>
      <c r="E271" s="71"/>
    </row>
    <row r="272" spans="1:5" s="2" customFormat="1" ht="18.75" customHeight="1">
      <c r="A272" s="67"/>
      <c r="B272" s="29"/>
      <c r="C272" s="34" t="s">
        <v>276</v>
      </c>
      <c r="D272" s="29">
        <f>7525+1597</f>
        <v>9122</v>
      </c>
      <c r="E272" s="68"/>
    </row>
    <row r="273" spans="1:5" s="2" customFormat="1" ht="18.75" customHeight="1">
      <c r="A273" s="67"/>
      <c r="B273" s="29"/>
      <c r="C273" s="34" t="s">
        <v>277</v>
      </c>
      <c r="D273" s="29">
        <f>SUM(D274:D277)</f>
        <v>2082</v>
      </c>
      <c r="E273" s="68"/>
    </row>
    <row r="274" spans="1:5" s="2" customFormat="1" ht="18.75" customHeight="1">
      <c r="A274" s="67"/>
      <c r="B274" s="29"/>
      <c r="C274" s="34" t="s">
        <v>158</v>
      </c>
      <c r="D274" s="29">
        <v>208</v>
      </c>
      <c r="E274" s="68"/>
    </row>
    <row r="275" spans="1:5" s="2" customFormat="1" ht="18.75" customHeight="1">
      <c r="A275" s="67"/>
      <c r="B275" s="29"/>
      <c r="C275" s="34" t="s">
        <v>510</v>
      </c>
      <c r="D275" s="29">
        <v>930</v>
      </c>
      <c r="E275" s="68"/>
    </row>
    <row r="276" spans="1:5" s="2" customFormat="1" ht="18.75" customHeight="1">
      <c r="A276" s="67"/>
      <c r="B276" s="29"/>
      <c r="C276" s="34" t="s">
        <v>511</v>
      </c>
      <c r="D276" s="29">
        <v>475</v>
      </c>
      <c r="E276" s="68"/>
    </row>
    <row r="277" spans="1:5" s="2" customFormat="1" ht="18.75" customHeight="1">
      <c r="A277" s="67"/>
      <c r="B277" s="29"/>
      <c r="C277" s="34" t="s">
        <v>512</v>
      </c>
      <c r="D277" s="29">
        <v>469</v>
      </c>
      <c r="E277" s="68"/>
    </row>
    <row r="278" spans="1:5" s="2" customFormat="1" ht="18.75" customHeight="1">
      <c r="A278" s="67"/>
      <c r="B278" s="29"/>
      <c r="C278" s="34" t="s">
        <v>278</v>
      </c>
      <c r="D278" s="29">
        <f>SUM(D279:D282)</f>
        <v>1498</v>
      </c>
      <c r="E278" s="68"/>
    </row>
    <row r="279" spans="1:5" s="2" customFormat="1" ht="18.75" customHeight="1">
      <c r="A279" s="67"/>
      <c r="B279" s="29"/>
      <c r="C279" s="34" t="s">
        <v>279</v>
      </c>
      <c r="D279" s="29">
        <v>1155</v>
      </c>
      <c r="E279" s="68"/>
    </row>
    <row r="280" spans="1:5" s="2" customFormat="1" ht="18.75" customHeight="1">
      <c r="A280" s="67"/>
      <c r="B280" s="29"/>
      <c r="C280" s="34" t="s">
        <v>280</v>
      </c>
      <c r="D280" s="29">
        <v>155</v>
      </c>
      <c r="E280" s="68"/>
    </row>
    <row r="281" spans="1:5" s="2" customFormat="1" ht="18.75" customHeight="1">
      <c r="A281" s="67"/>
      <c r="B281" s="29"/>
      <c r="C281" s="34" t="s">
        <v>513</v>
      </c>
      <c r="D281" s="29">
        <v>184</v>
      </c>
      <c r="E281" s="68"/>
    </row>
    <row r="282" spans="1:5" s="2" customFormat="1" ht="18.75" customHeight="1">
      <c r="A282" s="67"/>
      <c r="B282" s="29"/>
      <c r="C282" s="34" t="s">
        <v>281</v>
      </c>
      <c r="D282" s="29">
        <v>4</v>
      </c>
      <c r="E282" s="68"/>
    </row>
    <row r="283" spans="1:5" s="2" customFormat="1" ht="18.75" customHeight="1">
      <c r="A283" s="67"/>
      <c r="B283" s="29"/>
      <c r="C283" s="34" t="s">
        <v>514</v>
      </c>
      <c r="D283" s="29">
        <f>SUM(D284:D287)</f>
        <v>463</v>
      </c>
      <c r="E283" s="68"/>
    </row>
    <row r="284" spans="1:5" s="2" customFormat="1" ht="18.75" customHeight="1">
      <c r="A284" s="67"/>
      <c r="B284" s="29"/>
      <c r="C284" s="34" t="s">
        <v>515</v>
      </c>
      <c r="D284" s="29">
        <v>275</v>
      </c>
      <c r="E284" s="68"/>
    </row>
    <row r="285" spans="1:5" s="2" customFormat="1" ht="18.75" customHeight="1">
      <c r="A285" s="67"/>
      <c r="B285" s="29"/>
      <c r="C285" s="34" t="s">
        <v>516</v>
      </c>
      <c r="D285" s="29">
        <v>84</v>
      </c>
      <c r="E285" s="68"/>
    </row>
    <row r="286" spans="1:5" s="2" customFormat="1" ht="18.75" customHeight="1">
      <c r="A286" s="67"/>
      <c r="B286" s="29"/>
      <c r="C286" s="34" t="s">
        <v>517</v>
      </c>
      <c r="D286" s="29">
        <v>103</v>
      </c>
      <c r="E286" s="68"/>
    </row>
    <row r="287" spans="1:5" s="2" customFormat="1" ht="18.75" customHeight="1">
      <c r="A287" s="67"/>
      <c r="B287" s="29"/>
      <c r="C287" s="34" t="s">
        <v>518</v>
      </c>
      <c r="D287" s="29">
        <v>1</v>
      </c>
      <c r="E287" s="68"/>
    </row>
    <row r="288" spans="1:5" s="2" customFormat="1" ht="18.75" customHeight="1">
      <c r="A288" s="67"/>
      <c r="B288" s="29"/>
      <c r="C288" s="34" t="s">
        <v>282</v>
      </c>
      <c r="D288" s="29">
        <f>D289</f>
        <v>0</v>
      </c>
      <c r="E288" s="68"/>
    </row>
    <row r="289" spans="1:5" s="2" customFormat="1" ht="18.75" customHeight="1">
      <c r="A289" s="67"/>
      <c r="B289" s="29"/>
      <c r="C289" s="34" t="s">
        <v>283</v>
      </c>
      <c r="D289" s="29"/>
      <c r="E289" s="68"/>
    </row>
    <row r="290" spans="1:6" s="2" customFormat="1" ht="18.75" customHeight="1">
      <c r="A290" s="67"/>
      <c r="B290" s="29"/>
      <c r="C290" s="65" t="s">
        <v>371</v>
      </c>
      <c r="D290" s="28">
        <f>D291+D295</f>
        <v>13600</v>
      </c>
      <c r="E290" s="66"/>
      <c r="F290" s="27"/>
    </row>
    <row r="291" spans="1:5" s="2" customFormat="1" ht="18.75" customHeight="1">
      <c r="A291" s="67"/>
      <c r="B291" s="29"/>
      <c r="C291" s="34" t="s">
        <v>284</v>
      </c>
      <c r="D291" s="29">
        <f>SUM(D292:D294)</f>
        <v>12797</v>
      </c>
      <c r="E291" s="68"/>
    </row>
    <row r="292" spans="1:5" s="2" customFormat="1" ht="18.75" customHeight="1">
      <c r="A292" s="67"/>
      <c r="B292" s="29"/>
      <c r="C292" s="34" t="s">
        <v>94</v>
      </c>
      <c r="D292" s="29">
        <f>532+30</f>
        <v>562</v>
      </c>
      <c r="E292" s="68"/>
    </row>
    <row r="293" spans="1:5" s="2" customFormat="1" ht="18.75" customHeight="1">
      <c r="A293" s="67"/>
      <c r="B293" s="29"/>
      <c r="C293" s="74" t="s">
        <v>551</v>
      </c>
      <c r="D293" s="29">
        <v>12205</v>
      </c>
      <c r="E293" s="68"/>
    </row>
    <row r="294" spans="1:5" s="2" customFormat="1" ht="18.75" customHeight="1">
      <c r="A294" s="67"/>
      <c r="B294" s="29"/>
      <c r="C294" s="34" t="s">
        <v>519</v>
      </c>
      <c r="D294" s="29">
        <v>30</v>
      </c>
      <c r="E294" s="68"/>
    </row>
    <row r="295" spans="1:5" s="2" customFormat="1" ht="18.75" customHeight="1">
      <c r="A295" s="67"/>
      <c r="B295" s="29"/>
      <c r="C295" s="34" t="s">
        <v>520</v>
      </c>
      <c r="D295" s="29">
        <f>SUM(D296:D298)</f>
        <v>803</v>
      </c>
      <c r="E295" s="68"/>
    </row>
    <row r="296" spans="1:5" s="2" customFormat="1" ht="18.75" customHeight="1">
      <c r="A296" s="67"/>
      <c r="B296" s="29"/>
      <c r="C296" s="34" t="s">
        <v>521</v>
      </c>
      <c r="D296" s="29">
        <v>6</v>
      </c>
      <c r="E296" s="68"/>
    </row>
    <row r="297" spans="1:5" s="2" customFormat="1" ht="18.75" customHeight="1">
      <c r="A297" s="67"/>
      <c r="B297" s="29"/>
      <c r="C297" s="34" t="s">
        <v>522</v>
      </c>
      <c r="D297" s="29">
        <f>189+600</f>
        <v>789</v>
      </c>
      <c r="E297" s="68"/>
    </row>
    <row r="298" spans="1:5" s="2" customFormat="1" ht="18.75" customHeight="1">
      <c r="A298" s="67"/>
      <c r="B298" s="29"/>
      <c r="C298" s="34" t="s">
        <v>523</v>
      </c>
      <c r="D298" s="29">
        <v>8</v>
      </c>
      <c r="E298" s="68"/>
    </row>
    <row r="299" spans="1:5" s="2" customFormat="1" ht="18.75" customHeight="1">
      <c r="A299" s="67"/>
      <c r="B299" s="29"/>
      <c r="C299" s="34" t="s">
        <v>524</v>
      </c>
      <c r="D299" s="29">
        <v>2</v>
      </c>
      <c r="E299" s="68"/>
    </row>
    <row r="300" spans="1:6" s="2" customFormat="1" ht="18.75" customHeight="1">
      <c r="A300" s="67"/>
      <c r="B300" s="29"/>
      <c r="C300" s="65" t="s">
        <v>372</v>
      </c>
      <c r="D300" s="28">
        <f>D301+D303+D305</f>
        <v>2700</v>
      </c>
      <c r="E300" s="66"/>
      <c r="F300" s="27"/>
    </row>
    <row r="301" spans="1:6" s="2" customFormat="1" ht="18.75" customHeight="1">
      <c r="A301" s="67"/>
      <c r="B301" s="29"/>
      <c r="C301" s="34" t="s">
        <v>458</v>
      </c>
      <c r="D301" s="29">
        <f>D302</f>
        <v>1931</v>
      </c>
      <c r="E301" s="66"/>
      <c r="F301" s="27"/>
    </row>
    <row r="302" spans="1:6" s="2" customFormat="1" ht="18.75" customHeight="1">
      <c r="A302" s="67"/>
      <c r="B302" s="29"/>
      <c r="C302" s="34" t="s">
        <v>459</v>
      </c>
      <c r="D302" s="29">
        <f>4831+100-3000</f>
        <v>1931</v>
      </c>
      <c r="E302" s="66"/>
      <c r="F302" s="27"/>
    </row>
    <row r="303" spans="1:5" s="2" customFormat="1" ht="18.75" customHeight="1">
      <c r="A303" s="67"/>
      <c r="B303" s="29"/>
      <c r="C303" s="34" t="s">
        <v>285</v>
      </c>
      <c r="D303" s="29">
        <f>D304</f>
        <v>563</v>
      </c>
      <c r="E303" s="68"/>
    </row>
    <row r="304" spans="1:5" s="2" customFormat="1" ht="18.75" customHeight="1">
      <c r="A304" s="67"/>
      <c r="B304" s="29"/>
      <c r="C304" s="34" t="s">
        <v>94</v>
      </c>
      <c r="D304" s="29">
        <v>563</v>
      </c>
      <c r="E304" s="68"/>
    </row>
    <row r="305" spans="1:5" s="2" customFormat="1" ht="18.75" customHeight="1">
      <c r="A305" s="67"/>
      <c r="B305" s="29"/>
      <c r="C305" s="34" t="s">
        <v>286</v>
      </c>
      <c r="D305" s="29">
        <f>SUM(D306:D307)</f>
        <v>206</v>
      </c>
      <c r="E305" s="68"/>
    </row>
    <row r="306" spans="1:5" s="2" customFormat="1" ht="18.75" customHeight="1">
      <c r="A306" s="67"/>
      <c r="B306" s="29"/>
      <c r="C306" s="34" t="s">
        <v>287</v>
      </c>
      <c r="D306" s="29">
        <f>453-247</f>
        <v>206</v>
      </c>
      <c r="E306" s="68"/>
    </row>
    <row r="307" spans="1:5" s="2" customFormat="1" ht="18.75" customHeight="1">
      <c r="A307" s="67"/>
      <c r="B307" s="29"/>
      <c r="C307" s="34" t="s">
        <v>288</v>
      </c>
      <c r="D307" s="29"/>
      <c r="E307" s="68"/>
    </row>
    <row r="308" spans="1:6" s="2" customFormat="1" ht="18.75" customHeight="1">
      <c r="A308" s="67"/>
      <c r="B308" s="29"/>
      <c r="C308" s="65" t="s">
        <v>373</v>
      </c>
      <c r="D308" s="28">
        <f>D309+D313</f>
        <v>2560</v>
      </c>
      <c r="E308" s="66"/>
      <c r="F308" s="27"/>
    </row>
    <row r="309" spans="1:5" s="2" customFormat="1" ht="18.75" customHeight="1">
      <c r="A309" s="67"/>
      <c r="B309" s="29"/>
      <c r="C309" s="34" t="s">
        <v>289</v>
      </c>
      <c r="D309" s="29">
        <f>SUM(D310:D312)</f>
        <v>1050</v>
      </c>
      <c r="E309" s="68"/>
    </row>
    <row r="310" spans="1:5" s="2" customFormat="1" ht="18.75" customHeight="1">
      <c r="A310" s="67"/>
      <c r="B310" s="29"/>
      <c r="C310" s="34" t="s">
        <v>290</v>
      </c>
      <c r="D310" s="29"/>
      <c r="E310" s="68"/>
    </row>
    <row r="311" spans="1:5" s="2" customFormat="1" ht="18.75" customHeight="1">
      <c r="A311" s="67"/>
      <c r="B311" s="29"/>
      <c r="C311" s="34" t="s">
        <v>96</v>
      </c>
      <c r="D311" s="29">
        <v>934</v>
      </c>
      <c r="E311" s="68"/>
    </row>
    <row r="312" spans="1:5" s="2" customFormat="1" ht="18.75" customHeight="1">
      <c r="A312" s="67"/>
      <c r="B312" s="29"/>
      <c r="C312" s="34" t="s">
        <v>291</v>
      </c>
      <c r="D312" s="29">
        <f>916-800</f>
        <v>116</v>
      </c>
      <c r="E312" s="68"/>
    </row>
    <row r="313" spans="1:5" s="2" customFormat="1" ht="18.75" customHeight="1">
      <c r="A313" s="67"/>
      <c r="B313" s="29"/>
      <c r="C313" s="34" t="s">
        <v>292</v>
      </c>
      <c r="D313" s="29">
        <f>SUM(D314:D315)</f>
        <v>1510</v>
      </c>
      <c r="E313" s="68"/>
    </row>
    <row r="314" spans="1:5" s="2" customFormat="1" ht="18.75" customHeight="1">
      <c r="A314" s="67"/>
      <c r="B314" s="29"/>
      <c r="C314" s="34" t="s">
        <v>94</v>
      </c>
      <c r="D314" s="29">
        <f>770+100</f>
        <v>870</v>
      </c>
      <c r="E314" s="68"/>
    </row>
    <row r="315" spans="1:5" s="2" customFormat="1" ht="18.75" customHeight="1">
      <c r="A315" s="67"/>
      <c r="B315" s="29"/>
      <c r="C315" s="34" t="s">
        <v>525</v>
      </c>
      <c r="D315" s="29">
        <f>796-156</f>
        <v>640</v>
      </c>
      <c r="E315" s="68"/>
    </row>
    <row r="316" spans="1:6" s="2" customFormat="1" ht="18.75" customHeight="1">
      <c r="A316" s="67"/>
      <c r="B316" s="29"/>
      <c r="C316" s="65" t="s">
        <v>374</v>
      </c>
      <c r="D316" s="28">
        <f>D317+D321+D323</f>
        <v>1760</v>
      </c>
      <c r="E316" s="66"/>
      <c r="F316" s="27"/>
    </row>
    <row r="317" spans="1:5" s="2" customFormat="1" ht="18.75" customHeight="1">
      <c r="A317" s="70"/>
      <c r="B317" s="33"/>
      <c r="C317" s="32" t="s">
        <v>293</v>
      </c>
      <c r="D317" s="33">
        <f>SUM(D318:D320)</f>
        <v>1552</v>
      </c>
      <c r="E317" s="71"/>
    </row>
    <row r="318" spans="1:5" s="2" customFormat="1" ht="18.75" customHeight="1">
      <c r="A318" s="67"/>
      <c r="B318" s="29"/>
      <c r="C318" s="34" t="s">
        <v>94</v>
      </c>
      <c r="D318" s="29">
        <v>937</v>
      </c>
      <c r="E318" s="68"/>
    </row>
    <row r="319" spans="1:5" s="2" customFormat="1" ht="18.75" customHeight="1">
      <c r="A319" s="67"/>
      <c r="B319" s="29"/>
      <c r="C319" s="34" t="s">
        <v>526</v>
      </c>
      <c r="D319" s="29">
        <v>72</v>
      </c>
      <c r="E319" s="68"/>
    </row>
    <row r="320" spans="1:5" s="2" customFormat="1" ht="18.75" customHeight="1">
      <c r="A320" s="67"/>
      <c r="B320" s="29"/>
      <c r="C320" s="74" t="s">
        <v>552</v>
      </c>
      <c r="D320" s="29">
        <v>543</v>
      </c>
      <c r="E320" s="68"/>
    </row>
    <row r="321" spans="1:5" s="2" customFormat="1" ht="18.75" customHeight="1">
      <c r="A321" s="67"/>
      <c r="B321" s="29"/>
      <c r="C321" s="34" t="s">
        <v>294</v>
      </c>
      <c r="D321" s="29">
        <f>D322</f>
        <v>18</v>
      </c>
      <c r="E321" s="68"/>
    </row>
    <row r="322" spans="1:5" s="2" customFormat="1" ht="18.75" customHeight="1">
      <c r="A322" s="75" t="s">
        <v>380</v>
      </c>
      <c r="B322" s="29">
        <f>B5+B23</f>
        <v>37288</v>
      </c>
      <c r="C322" s="34" t="s">
        <v>94</v>
      </c>
      <c r="D322" s="29">
        <v>18</v>
      </c>
      <c r="E322" s="68"/>
    </row>
    <row r="323" spans="1:5" s="2" customFormat="1" ht="18.75" customHeight="1">
      <c r="A323" s="67"/>
      <c r="B323" s="29"/>
      <c r="C323" s="34" t="s">
        <v>295</v>
      </c>
      <c r="D323" s="29">
        <f>SUM(D324:D325)</f>
        <v>190</v>
      </c>
      <c r="E323" s="68"/>
    </row>
    <row r="324" spans="1:5" s="2" customFormat="1" ht="18.75" customHeight="1">
      <c r="A324" s="67"/>
      <c r="B324" s="29"/>
      <c r="C324" s="34" t="s">
        <v>94</v>
      </c>
      <c r="D324" s="29">
        <v>140</v>
      </c>
      <c r="E324" s="68"/>
    </row>
    <row r="325" spans="1:5" s="2" customFormat="1" ht="18.75" customHeight="1">
      <c r="A325" s="67" t="s">
        <v>377</v>
      </c>
      <c r="B325" s="29">
        <f>B326+B329+B341+B342</f>
        <v>387302</v>
      </c>
      <c r="C325" s="34" t="s">
        <v>296</v>
      </c>
      <c r="D325" s="29">
        <v>50</v>
      </c>
      <c r="E325" s="68"/>
    </row>
    <row r="326" spans="1:6" s="2" customFormat="1" ht="18.75" customHeight="1">
      <c r="A326" s="67" t="s">
        <v>378</v>
      </c>
      <c r="B326" s="29">
        <f>SUM(B327:B328)</f>
        <v>1919</v>
      </c>
      <c r="C326" s="65" t="s">
        <v>375</v>
      </c>
      <c r="D326" s="28">
        <f>D327</f>
        <v>20800</v>
      </c>
      <c r="E326" s="66"/>
      <c r="F326" s="27"/>
    </row>
    <row r="327" spans="1:5" s="2" customFormat="1" ht="27">
      <c r="A327" s="67" t="s">
        <v>408</v>
      </c>
      <c r="B327" s="52">
        <v>1800</v>
      </c>
      <c r="C327" s="34" t="s">
        <v>297</v>
      </c>
      <c r="D327" s="29">
        <f>SUM(D328:D330)</f>
        <v>20800</v>
      </c>
      <c r="E327" s="68"/>
    </row>
    <row r="328" spans="1:5" s="2" customFormat="1" ht="18.75" customHeight="1">
      <c r="A328" s="67" t="s">
        <v>407</v>
      </c>
      <c r="B328" s="52">
        <v>119</v>
      </c>
      <c r="C328" s="34" t="s">
        <v>527</v>
      </c>
      <c r="D328" s="29">
        <v>4820</v>
      </c>
      <c r="E328" s="68"/>
    </row>
    <row r="329" spans="1:5" s="2" customFormat="1" ht="18.75" customHeight="1">
      <c r="A329" s="67" t="s">
        <v>379</v>
      </c>
      <c r="B329" s="29">
        <f>SUM(B330:B340)</f>
        <v>197382</v>
      </c>
      <c r="C329" s="34" t="s">
        <v>298</v>
      </c>
      <c r="D329" s="29">
        <f>6374+162+2578</f>
        <v>9114</v>
      </c>
      <c r="E329" s="68"/>
    </row>
    <row r="330" spans="1:5" s="2" customFormat="1" ht="18.75" customHeight="1">
      <c r="A330" s="67" t="s">
        <v>406</v>
      </c>
      <c r="B330" s="52">
        <v>4631</v>
      </c>
      <c r="C330" s="34" t="s">
        <v>299</v>
      </c>
      <c r="D330" s="29">
        <f>23644-16778</f>
        <v>6866</v>
      </c>
      <c r="E330" s="68"/>
    </row>
    <row r="331" spans="1:5" s="2" customFormat="1" ht="18.75" customHeight="1">
      <c r="A331" s="67" t="s">
        <v>405</v>
      </c>
      <c r="B331" s="52">
        <f>48129+621</f>
        <v>48750</v>
      </c>
      <c r="C331" s="65" t="s">
        <v>381</v>
      </c>
      <c r="D331" s="28">
        <f>D332+D334+D336</f>
        <v>943</v>
      </c>
      <c r="E331" s="66"/>
    </row>
    <row r="332" spans="1:6" s="2" customFormat="1" ht="27">
      <c r="A332" s="67" t="s">
        <v>399</v>
      </c>
      <c r="B332" s="52">
        <v>4531</v>
      </c>
      <c r="C332" s="34" t="s">
        <v>300</v>
      </c>
      <c r="D332" s="29">
        <f>D333</f>
        <v>943</v>
      </c>
      <c r="E332" s="68"/>
      <c r="F332" s="27"/>
    </row>
    <row r="333" spans="1:5" s="2" customFormat="1" ht="27">
      <c r="A333" s="67" t="s">
        <v>400</v>
      </c>
      <c r="B333" s="52">
        <f>37757+1646</f>
        <v>39403</v>
      </c>
      <c r="C333" s="34" t="s">
        <v>94</v>
      </c>
      <c r="D333" s="29">
        <v>943</v>
      </c>
      <c r="E333" s="68"/>
    </row>
    <row r="334" spans="1:5" s="2" customFormat="1" ht="18.75" customHeight="1">
      <c r="A334" s="67" t="s">
        <v>545</v>
      </c>
      <c r="B334" s="52">
        <f>16665+38</f>
        <v>16703</v>
      </c>
      <c r="C334" s="34" t="s">
        <v>301</v>
      </c>
      <c r="D334" s="29">
        <f>D335</f>
        <v>0</v>
      </c>
      <c r="E334" s="68"/>
    </row>
    <row r="335" spans="1:5" s="2" customFormat="1" ht="18.75" customHeight="1">
      <c r="A335" s="67" t="s">
        <v>401</v>
      </c>
      <c r="B335" s="52">
        <f>4094+1800</f>
        <v>5894</v>
      </c>
      <c r="C335" s="34" t="s">
        <v>302</v>
      </c>
      <c r="D335" s="29"/>
      <c r="E335" s="68"/>
    </row>
    <row r="336" spans="1:5" s="2" customFormat="1" ht="27">
      <c r="A336" s="67" t="s">
        <v>544</v>
      </c>
      <c r="B336" s="52">
        <f>482+100</f>
        <v>582</v>
      </c>
      <c r="C336" s="34" t="s">
        <v>303</v>
      </c>
      <c r="D336" s="29">
        <f>D337</f>
        <v>0</v>
      </c>
      <c r="E336" s="68"/>
    </row>
    <row r="337" spans="1:5" s="2" customFormat="1" ht="27">
      <c r="A337" s="76" t="s">
        <v>469</v>
      </c>
      <c r="B337" s="52">
        <v>518</v>
      </c>
      <c r="C337" s="34" t="s">
        <v>304</v>
      </c>
      <c r="D337" s="29"/>
      <c r="E337" s="68"/>
    </row>
    <row r="338" spans="1:5" s="2" customFormat="1" ht="27">
      <c r="A338" s="67" t="s">
        <v>402</v>
      </c>
      <c r="B338" s="52">
        <v>7818</v>
      </c>
      <c r="C338" s="65" t="s">
        <v>382</v>
      </c>
      <c r="D338" s="28">
        <f>D339</f>
        <v>2000</v>
      </c>
      <c r="E338" s="66"/>
    </row>
    <row r="339" spans="1:6" s="2" customFormat="1" ht="18.75" customHeight="1">
      <c r="A339" s="67" t="s">
        <v>403</v>
      </c>
      <c r="B339" s="52">
        <v>68552</v>
      </c>
      <c r="C339" s="34" t="s">
        <v>305</v>
      </c>
      <c r="D339" s="29">
        <f>D340</f>
        <v>2000</v>
      </c>
      <c r="E339" s="68"/>
      <c r="F339" s="27"/>
    </row>
    <row r="340" spans="1:5" s="2" customFormat="1" ht="18.75" customHeight="1">
      <c r="A340" s="67" t="s">
        <v>404</v>
      </c>
      <c r="B340" s="29"/>
      <c r="C340" s="34" t="s">
        <v>306</v>
      </c>
      <c r="D340" s="29">
        <v>2000</v>
      </c>
      <c r="E340" s="68"/>
    </row>
    <row r="341" spans="1:5" s="2" customFormat="1" ht="18.75" customHeight="1">
      <c r="A341" s="67" t="s">
        <v>409</v>
      </c>
      <c r="B341" s="29">
        <v>135101</v>
      </c>
      <c r="C341" s="65" t="s">
        <v>528</v>
      </c>
      <c r="D341" s="48">
        <f>D342</f>
        <v>9094</v>
      </c>
      <c r="E341" s="68"/>
    </row>
    <row r="342" spans="1:5" s="2" customFormat="1" ht="18.75" customHeight="1">
      <c r="A342" s="67" t="s">
        <v>543</v>
      </c>
      <c r="B342" s="29">
        <v>52900</v>
      </c>
      <c r="C342" s="34" t="s">
        <v>529</v>
      </c>
      <c r="D342" s="29">
        <f>D343</f>
        <v>9094</v>
      </c>
      <c r="E342" s="68"/>
    </row>
    <row r="343" spans="1:5" s="2" customFormat="1" ht="18.75" customHeight="1">
      <c r="A343" s="67"/>
      <c r="B343" s="29"/>
      <c r="C343" s="34" t="s">
        <v>530</v>
      </c>
      <c r="D343" s="29">
        <v>9094</v>
      </c>
      <c r="E343" s="68"/>
    </row>
    <row r="344" spans="1:5" s="2" customFormat="1" ht="18.75" customHeight="1">
      <c r="A344" s="67"/>
      <c r="B344" s="29"/>
      <c r="C344" s="34"/>
      <c r="D344" s="29"/>
      <c r="E344" s="68"/>
    </row>
    <row r="345" spans="1:5" s="2" customFormat="1" ht="18.75" customHeight="1">
      <c r="A345" s="67"/>
      <c r="B345" s="29"/>
      <c r="C345" s="34"/>
      <c r="D345" s="29"/>
      <c r="E345" s="68"/>
    </row>
    <row r="346" spans="1:6" s="2" customFormat="1" ht="18.75" customHeight="1">
      <c r="A346" s="77" t="s">
        <v>376</v>
      </c>
      <c r="B346" s="31">
        <f>B322+B325</f>
        <v>424590</v>
      </c>
      <c r="C346" s="30" t="s">
        <v>393</v>
      </c>
      <c r="D346" s="31">
        <f>D5+D53+D79+D101+D107+D123+D167+D196+D217+D230+D290++D300+D308++D316+D326+D331+D338+D341</f>
        <v>424590</v>
      </c>
      <c r="E346" s="78"/>
      <c r="F346" s="27"/>
    </row>
    <row r="347" ht="13.5">
      <c r="B347">
        <v>424590</v>
      </c>
    </row>
  </sheetData>
  <sheetProtection/>
  <mergeCells count="4">
    <mergeCell ref="A1:E1"/>
    <mergeCell ref="A3:B3"/>
    <mergeCell ref="C3:D3"/>
    <mergeCell ref="E3:E4"/>
  </mergeCells>
  <printOptions/>
  <pageMargins left="0.7086614173228347" right="0.5511811023622047" top="0.7480314960629921" bottom="0.7480314960629921" header="0.31496062992125984" footer="0.31496062992125984"/>
  <pageSetup fitToHeight="9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2019-02-03T10:11:11Z</dcterms:modified>
  <cp:category/>
  <cp:version/>
  <cp:contentType/>
  <cp:contentStatus/>
</cp:coreProperties>
</file>