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0" windowWidth="12225" windowHeight="9180" activeTab="8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  <sheet name="2016社保收入情况" sheetId="12" r:id="rId12"/>
    <sheet name="2016社保支出情况" sheetId="13" r:id="rId13"/>
    <sheet name="2016年社保结余情况" sheetId="14" r:id="rId14"/>
    <sheet name="2017社保预算收入表" sheetId="15" r:id="rId15"/>
    <sheet name="2017社保预算支出表" sheetId="16" r:id="rId16"/>
    <sheet name="2017社保预算结余表" sheetId="17" r:id="rId17"/>
    <sheet name="2017年国有资本经营收入" sheetId="18" r:id="rId18"/>
    <sheet name="2017年国有资本经营支出" sheetId="19" r:id="rId19"/>
  </sheets>
  <definedNames>
    <definedName name="_xlnm.Print_Area" localSheetId="13">'2016年社保结余情况'!$A$1:$E$21</definedName>
    <definedName name="_xlnm.Print_Area" localSheetId="11">'2016社保收入情况'!$A$1:$E$48</definedName>
    <definedName name="_xlnm.Print_Area" localSheetId="12">'2016社保支出情况'!$A$1:$E$35</definedName>
    <definedName name="_xlnm.Print_Area" localSheetId="17">'2017年国有资本经营收入'!$A$1:$E$17</definedName>
    <definedName name="_xlnm.Print_Area" localSheetId="18">'2017年国有资本经营支出'!$A$1:$E$17</definedName>
    <definedName name="_xlnm.Print_Area" localSheetId="16">'2017社保预算结余表'!$A$1:$E$21</definedName>
    <definedName name="_xlnm.Print_Area" localSheetId="14">'2017社保预算收入表'!$A$1:$E$48</definedName>
    <definedName name="_xlnm.Print_Area" localSheetId="15">'2017社保预算支出表'!$A$1:$E$35</definedName>
    <definedName name="_xlnm.Print_Area" localSheetId="7">'表八'!$A$1:$E$17</definedName>
    <definedName name="_xlnm.Print_Area" localSheetId="1">'表二'!$A$1:$E$28</definedName>
    <definedName name="_xlnm.Print_Area" localSheetId="8">'表九'!$A$1:$E$343</definedName>
    <definedName name="_xlnm.Print_Area" localSheetId="5">'表六'!$A$1:$E$28</definedName>
    <definedName name="_xlnm.Print_Area" localSheetId="6">'表七'!$A$1:$E$23</definedName>
    <definedName name="_xlnm.Print_Area" localSheetId="2">'表三'!$A$1:$E$25</definedName>
    <definedName name="_xlnm.Print_Area" localSheetId="9">'表十'!$A$1:$E$11</definedName>
    <definedName name="_xlnm.Print_Area" localSheetId="10">'表十一'!$A$1:$D$11</definedName>
    <definedName name="_xlnm.Print_Area" localSheetId="3">'表四'!$A$1:$E$16</definedName>
    <definedName name="_xlnm.Print_Area" localSheetId="4">'表五'!$A$1:$E$30</definedName>
    <definedName name="_xlnm.Print_Area" localSheetId="0">'表一'!$A$1:$E$30</definedName>
    <definedName name="_xlnm.Print_Titles" localSheetId="8">'表九'!$3:$4</definedName>
  </definedNames>
  <calcPr fullCalcOnLoad="1"/>
</workbook>
</file>

<file path=xl/sharedStrings.xml><?xml version="1.0" encoding="utf-8"?>
<sst xmlns="http://schemas.openxmlformats.org/spreadsheetml/2006/main" count="892" uniqueCount="574">
  <si>
    <t>项目</t>
  </si>
  <si>
    <t>2014年完成数</t>
  </si>
  <si>
    <t>2013年完成数</t>
  </si>
  <si>
    <t>比上年增（减）%</t>
  </si>
  <si>
    <t>一、税收收入小计</t>
  </si>
  <si>
    <t>一、税收收入小计</t>
  </si>
  <si>
    <t xml:space="preserve">    增值税（25%）</t>
  </si>
  <si>
    <t xml:space="preserve">    增值税（25%）</t>
  </si>
  <si>
    <t xml:space="preserve">    营改增</t>
  </si>
  <si>
    <t xml:space="preserve">    营改增</t>
  </si>
  <si>
    <t xml:space="preserve">    营业税</t>
  </si>
  <si>
    <t xml:space="preserve">    营业税</t>
  </si>
  <si>
    <t xml:space="preserve">    企业所得税（40%）</t>
  </si>
  <si>
    <t xml:space="preserve">    企业所得税（40%）</t>
  </si>
  <si>
    <t xml:space="preserve">    企业所得税退税</t>
  </si>
  <si>
    <t xml:space="preserve">    企业所得税退税</t>
  </si>
  <si>
    <t xml:space="preserve">    个人所得税（40%）</t>
  </si>
  <si>
    <t xml:space="preserve">    个人所得税（40%）</t>
  </si>
  <si>
    <t xml:space="preserve">    资源税</t>
  </si>
  <si>
    <t xml:space="preserve">    资源税</t>
  </si>
  <si>
    <t xml:space="preserve">    固定资产投资方向调节税</t>
  </si>
  <si>
    <t xml:space="preserve">    固定资产投资方向调节税</t>
  </si>
  <si>
    <t xml:space="preserve">    城市维护建设税</t>
  </si>
  <si>
    <t xml:space="preserve">    城市维护建设税</t>
  </si>
  <si>
    <t xml:space="preserve">    房产税</t>
  </si>
  <si>
    <t xml:space="preserve">    房产税</t>
  </si>
  <si>
    <t xml:space="preserve">    印花税</t>
  </si>
  <si>
    <t xml:space="preserve">    印花税</t>
  </si>
  <si>
    <t xml:space="preserve">    城镇土地使用税</t>
  </si>
  <si>
    <t xml:space="preserve">    城镇土地使用税</t>
  </si>
  <si>
    <t xml:space="preserve">    土地增值税</t>
  </si>
  <si>
    <t xml:space="preserve">    土地增值税</t>
  </si>
  <si>
    <t xml:space="preserve">    车船使用和牌照税</t>
  </si>
  <si>
    <t xml:space="preserve">    车船使用和牌照税</t>
  </si>
  <si>
    <t xml:space="preserve">    耕地占用税</t>
  </si>
  <si>
    <t xml:space="preserve">    耕地占用税</t>
  </si>
  <si>
    <t xml:space="preserve">    契税</t>
  </si>
  <si>
    <t xml:space="preserve">    契税</t>
  </si>
  <si>
    <t>二、非税收入小计</t>
  </si>
  <si>
    <t>二、非税收入小计</t>
  </si>
  <si>
    <t xml:space="preserve">    专项收入</t>
  </si>
  <si>
    <t xml:space="preserve">    专项收入</t>
  </si>
  <si>
    <t xml:space="preserve">    行政事业性收费收入</t>
  </si>
  <si>
    <t xml:space="preserve">    行政事业性收费收入</t>
  </si>
  <si>
    <t xml:space="preserve">    罚没收入</t>
  </si>
  <si>
    <t xml:space="preserve">    罚没收入</t>
  </si>
  <si>
    <t xml:space="preserve">    国有资产经营收入</t>
  </si>
  <si>
    <t xml:space="preserve">    国有资产经营收入</t>
  </si>
  <si>
    <t xml:space="preserve">    国有资源（资产）有偿使用收入</t>
  </si>
  <si>
    <t xml:space="preserve">    其他收入</t>
  </si>
  <si>
    <t xml:space="preserve">    其他收入</t>
  </si>
  <si>
    <t>公共财政预算收入</t>
  </si>
  <si>
    <t>比上年增（减)%</t>
  </si>
  <si>
    <t>单位：万元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</si>
  <si>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</si>
  <si>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</si>
  <si>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</si>
  <si>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</si>
  <si>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</si>
  <si>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</si>
  <si>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</si>
  <si>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</si>
  <si>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</si>
  <si>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</si>
  <si>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</si>
  <si>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</si>
  <si>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</si>
  <si>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</si>
  <si>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</si>
  <si>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</si>
  <si>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</si>
  <si>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</si>
  <si>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</si>
  <si>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二十、粮油物资储备管理事务</t>
  </si>
  <si>
    <t>二十一、预备费</t>
  </si>
  <si>
    <t>二十二、国债还本付息支出</t>
  </si>
  <si>
    <t>二十三、其他支出</t>
  </si>
  <si>
    <t>公共财政预算支出</t>
  </si>
  <si>
    <t>单位：万元</t>
  </si>
  <si>
    <t>一般公共服务</t>
  </si>
  <si>
    <t>教育</t>
  </si>
  <si>
    <t>文化体育与传媒</t>
  </si>
  <si>
    <t>社会保障和就业</t>
  </si>
  <si>
    <t>环境保护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</si>
  <si>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</si>
  <si>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</si>
  <si>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</si>
  <si>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</si>
  <si>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</si>
  <si>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</si>
  <si>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>收入</t>
  </si>
  <si>
    <t>支出</t>
  </si>
  <si>
    <t>备注</t>
  </si>
  <si>
    <t xml:space="preserve">    国有资源（资产）
    有偿使用收入</t>
  </si>
  <si>
    <t>项目</t>
  </si>
  <si>
    <t>预算数</t>
  </si>
  <si>
    <t xml:space="preserve">  人大事务</t>
  </si>
  <si>
    <t xml:space="preserve">    行政运行</t>
  </si>
  <si>
    <t xml:space="preserve">    一般行政管理事务</t>
  </si>
  <si>
    <t xml:space="preserve">    事业运行</t>
  </si>
  <si>
    <t xml:space="preserve">    其他人大事务支出</t>
  </si>
  <si>
    <t xml:space="preserve">  政协事务</t>
  </si>
  <si>
    <t xml:space="preserve">  政府办公厅(室)及相关机构事务</t>
  </si>
  <si>
    <t xml:space="preserve">    其他政府办公厅(室)及相关机构事务支出</t>
  </si>
  <si>
    <t xml:space="preserve">  发展与改革事务</t>
  </si>
  <si>
    <t xml:space="preserve">  统计信息事务</t>
  </si>
  <si>
    <t xml:space="preserve">    专项统计业务</t>
  </si>
  <si>
    <t xml:space="preserve">  财政事务</t>
  </si>
  <si>
    <t xml:space="preserve">    其他财政事务支出</t>
  </si>
  <si>
    <t xml:space="preserve">  税收事务</t>
  </si>
  <si>
    <t xml:space="preserve">  审计事务</t>
  </si>
  <si>
    <t xml:space="preserve">    其他审计事务支出</t>
  </si>
  <si>
    <t xml:space="preserve">  纪检监察事务</t>
  </si>
  <si>
    <t xml:space="preserve">  商贸事务</t>
  </si>
  <si>
    <t xml:space="preserve">    其他商贸事务支出</t>
  </si>
  <si>
    <t xml:space="preserve">  档案事务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</si>
  <si>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</si>
  <si>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</si>
  <si>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</si>
  <si>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</si>
  <si>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</si>
  <si>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统战事务</t>
  </si>
  <si>
    <t xml:space="preserve">    其他统战事务支出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</si>
  <si>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</si>
  <si>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</si>
  <si>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</si>
  <si>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</si>
  <si>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公安</t>
  </si>
  <si>
    <t xml:space="preserve">    禁毒管理</t>
  </si>
  <si>
    <t xml:space="preserve">    道路交通管理</t>
  </si>
  <si>
    <t xml:space="preserve">    拘押收教场所管理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</si>
  <si>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</si>
  <si>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</si>
  <si>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</si>
  <si>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</si>
  <si>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</si>
  <si>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</si>
  <si>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法律援助</t>
  </si>
  <si>
    <t xml:space="preserve">    其他司法支出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</si>
  <si>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</si>
  <si>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</si>
  <si>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</si>
  <si>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</si>
  <si>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</si>
  <si>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</si>
  <si>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</si>
  <si>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</si>
  <si>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</si>
  <si>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</si>
  <si>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</si>
  <si>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</si>
  <si>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技校教育</t>
  </si>
  <si>
    <t xml:space="preserve">    职业高中教育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</si>
  <si>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</si>
  <si>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</si>
  <si>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</si>
  <si>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</si>
  <si>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城市中小学校舍建设</t>
  </si>
  <si>
    <t xml:space="preserve">  其他教育支出(款)</t>
  </si>
  <si>
    <t xml:space="preserve">    其他教育支出(项)</t>
  </si>
  <si>
    <t xml:space="preserve">  科学技术管理事务</t>
  </si>
  <si>
    <t xml:space="preserve">    机构运行</t>
  </si>
  <si>
    <t xml:space="preserve">  科学技术普及</t>
  </si>
  <si>
    <t xml:space="preserve">    科普活动</t>
  </si>
  <si>
    <t xml:space="preserve">    其他科学技术普及支出</t>
  </si>
  <si>
    <t xml:space="preserve">  文化</t>
  </si>
  <si>
    <t xml:space="preserve">    图书馆</t>
  </si>
  <si>
    <t xml:space="preserve">    艺术表演团体</t>
  </si>
  <si>
    <t xml:space="preserve">    群众文化</t>
  </si>
  <si>
    <t xml:space="preserve">    文化创作与保护</t>
  </si>
  <si>
    <t xml:space="preserve">    其他文化支出</t>
  </si>
  <si>
    <t xml:space="preserve">    广播</t>
  </si>
  <si>
    <t xml:space="preserve">    电视</t>
  </si>
  <si>
    <t xml:space="preserve">    其他广播影视支出</t>
  </si>
  <si>
    <t xml:space="preserve">  其他文化体育与传媒支出(款)</t>
  </si>
  <si>
    <t xml:space="preserve">    其他文化体育与传媒支出(项)</t>
  </si>
  <si>
    <t xml:space="preserve">  人力资源和社会保障管理事务</t>
  </si>
  <si>
    <t xml:space="preserve">    社会保险经办机构</t>
  </si>
  <si>
    <t xml:space="preserve">  民政管理事务</t>
  </si>
  <si>
    <t xml:space="preserve">  财政对社会保险基金的补助</t>
  </si>
  <si>
    <t xml:space="preserve">    财政对城乡居民社会养老保险基金的补助</t>
  </si>
  <si>
    <t xml:space="preserve">  就业补助</t>
  </si>
  <si>
    <t xml:space="preserve">  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</si>
  <si>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</si>
  <si>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</si>
  <si>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</si>
  <si>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退役安置</t>
  </si>
  <si>
    <t xml:space="preserve">    退役士兵安置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</si>
  <si>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</si>
  <si>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</si>
  <si>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</si>
  <si>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</si>
  <si>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</si>
  <si>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</si>
  <si>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</si>
  <si>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</si>
  <si>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</si>
  <si>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</si>
  <si>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</si>
  <si>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  流浪乞讨人员救助</t>
  </si>
  <si>
    <t xml:space="preserve">    农村最低生活保障金支出</t>
  </si>
  <si>
    <t xml:space="preserve">    其他农村生活救助支出</t>
  </si>
  <si>
    <t xml:space="preserve">  医疗卫生管理事务</t>
  </si>
  <si>
    <t xml:space="preserve">  公立医院</t>
  </si>
  <si>
    <t xml:space="preserve">    综合医院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</si>
  <si>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</si>
  <si>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</si>
  <si>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</si>
  <si>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</si>
  <si>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</si>
  <si>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</si>
  <si>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</si>
  <si>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</si>
  <si>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医疗保障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</si>
  <si>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</si>
  <si>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</si>
  <si>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</si>
  <si>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</si>
  <si>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中医药</t>
  </si>
  <si>
    <t xml:space="preserve">    中医(民族医)药专项</t>
  </si>
  <si>
    <t xml:space="preserve">  人口与计划生育事务</t>
  </si>
  <si>
    <t xml:space="preserve">    其他人口与计划生育事务支出</t>
  </si>
  <si>
    <t xml:space="preserve">  食品和药品监督管理事务</t>
  </si>
  <si>
    <t xml:space="preserve">  环境保护管理事务</t>
  </si>
  <si>
    <t xml:space="preserve">  污染防治</t>
  </si>
  <si>
    <t xml:space="preserve">    水体</t>
  </si>
  <si>
    <t xml:space="preserve">    排污费安排的支出</t>
  </si>
  <si>
    <t xml:space="preserve">  自然生态保护</t>
  </si>
  <si>
    <t xml:space="preserve">    农村环境保护</t>
  </si>
  <si>
    <t xml:space="preserve">  退耕还林</t>
  </si>
  <si>
    <t xml:space="preserve">    退耕现金</t>
  </si>
  <si>
    <t xml:space="preserve">    其他退耕还林支出</t>
  </si>
  <si>
    <t xml:space="preserve">  退牧还草</t>
  </si>
  <si>
    <t xml:space="preserve">    退牧还草工程建设</t>
  </si>
  <si>
    <t xml:space="preserve">  能源节约利用(款)</t>
  </si>
  <si>
    <t xml:space="preserve">    能源节约利用(项)</t>
  </si>
  <si>
    <t xml:space="preserve">  污染减排</t>
  </si>
  <si>
    <t xml:space="preserve">    清洁生产专项支出</t>
  </si>
  <si>
    <t xml:space="preserve">    其他污染减排支出</t>
  </si>
  <si>
    <t xml:space="preserve">  城乡社区管理事务</t>
  </si>
  <si>
    <t xml:space="preserve">    城管执法</t>
  </si>
  <si>
    <t xml:space="preserve">    工程建设管理</t>
  </si>
  <si>
    <t xml:space="preserve">    住宅建设与房地产市场监管</t>
  </si>
  <si>
    <t xml:space="preserve">  城乡社区规划与管理(款)</t>
  </si>
  <si>
    <t xml:space="preserve">    城乡社区规划与管理(项)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</si>
  <si>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</si>
  <si>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</si>
  <si>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</si>
  <si>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</si>
  <si>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 xml:space="preserve">  农业</t>
  </si>
  <si>
    <t xml:space="preserve">    病虫害控制</t>
  </si>
  <si>
    <t xml:space="preserve">    农产品质量安全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</si>
  <si>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</si>
  <si>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</si>
  <si>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</si>
  <si>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</si>
  <si>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</si>
  <si>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农业资源保护与利用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</si>
  <si>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</si>
  <si>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</si>
  <si>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</si>
  <si>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</si>
  <si>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</si>
  <si>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</si>
  <si>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森林生态效益补偿</t>
  </si>
  <si>
    <t xml:space="preserve">    林业执法与监督</t>
  </si>
  <si>
    <t xml:space="preserve">    林业防灾减灾</t>
  </si>
  <si>
    <t xml:space="preserve">    其他林业支出</t>
  </si>
  <si>
    <t xml:space="preserve">  水利</t>
  </si>
  <si>
    <t xml:space="preserve">    水利工程建设</t>
  </si>
  <si>
    <t xml:space="preserve">    水利工程运行与维护</t>
  </si>
  <si>
    <t xml:space="preserve">    水利执法监督</t>
  </si>
  <si>
    <t xml:space="preserve">    防汛</t>
  </si>
  <si>
    <t xml:space="preserve">    水利技术推广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</si>
  <si>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</si>
  <si>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</si>
  <si>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</si>
  <si>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</si>
  <si>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扶贫贷款奖补和贴息</t>
  </si>
  <si>
    <t xml:space="preserve">    其他扶贫支出</t>
  </si>
  <si>
    <t xml:space="preserve">  农业综合开发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</si>
  <si>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</si>
  <si>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</si>
  <si>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</si>
  <si>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其他农村综合改革支出</t>
  </si>
  <si>
    <t xml:space="preserve">  其他农林水支出(款)</t>
  </si>
  <si>
    <t xml:space="preserve">    其他农林水支出(项)</t>
  </si>
  <si>
    <t xml:space="preserve">  公路水路运输</t>
  </si>
  <si>
    <t xml:space="preserve">  安全生产监管</t>
  </si>
  <si>
    <t xml:space="preserve">  其他资源勘探信息等支出(款)</t>
  </si>
  <si>
    <t xml:space="preserve">    技术改造支出</t>
  </si>
  <si>
    <t xml:space="preserve">    其他资源勘探信息等支出(项)</t>
  </si>
  <si>
    <t xml:space="preserve">  商业流通事务</t>
  </si>
  <si>
    <t xml:space="preserve">    民贸网点贷款贴息</t>
  </si>
  <si>
    <t xml:space="preserve">    其他商业流通事务支出</t>
  </si>
  <si>
    <t xml:space="preserve">  旅游业管理与服务支出</t>
  </si>
  <si>
    <t xml:space="preserve">  国土资源事务</t>
  </si>
  <si>
    <t xml:space="preserve">  地震事务</t>
  </si>
  <si>
    <t xml:space="preserve">  气象事务</t>
  </si>
  <si>
    <t xml:space="preserve">    气象服务</t>
  </si>
  <si>
    <t xml:space="preserve">  保障性安居工程支出</t>
  </si>
  <si>
    <t xml:space="preserve">    农村危房改造</t>
  </si>
  <si>
    <t xml:space="preserve">    其他保障性安居工程支出</t>
  </si>
  <si>
    <t xml:space="preserve">  粮油事务</t>
  </si>
  <si>
    <t xml:space="preserve">  粮油储备</t>
  </si>
  <si>
    <t xml:space="preserve">    储备粮(油)库建设</t>
  </si>
  <si>
    <t xml:space="preserve">  重要商品储备</t>
  </si>
  <si>
    <t xml:space="preserve">    肉类储备</t>
  </si>
  <si>
    <t xml:space="preserve">  其他支出(款)</t>
  </si>
  <si>
    <t xml:space="preserve">    其他支出(项)</t>
  </si>
  <si>
    <t>项目</t>
  </si>
  <si>
    <t>单位：万元</t>
  </si>
  <si>
    <t>2014年预算数</t>
  </si>
  <si>
    <t>2014年执行数</t>
  </si>
  <si>
    <t xml:space="preserve">    其中：基本养老保险支出</t>
  </si>
  <si>
    <t xml:space="preserve">         其他各项支出</t>
  </si>
  <si>
    <t xml:space="preserve">    其中：社会保险待遇支出</t>
  </si>
  <si>
    <t>二、失业保险基金支出</t>
  </si>
  <si>
    <t>三、城镇职工基本医疗保险基金支出</t>
  </si>
  <si>
    <t>四、工伤保险基金支出</t>
  </si>
  <si>
    <t>七、城镇居民基本医疗保险基金支出</t>
  </si>
  <si>
    <t>八、新型农村合作医疗基金支出</t>
  </si>
  <si>
    <t xml:space="preserve">    其中：失业保险基金支出</t>
  </si>
  <si>
    <t xml:space="preserve">    其中：工伤保险基金支出</t>
  </si>
  <si>
    <t xml:space="preserve">    其中：基本医疗保险基金支出</t>
  </si>
  <si>
    <t xml:space="preserve">    其中：生育保险基金支出</t>
  </si>
  <si>
    <t xml:space="preserve">    其中：居民养老保险基金支出</t>
  </si>
  <si>
    <t xml:space="preserve">    其中：农材合作医疗基金支出</t>
  </si>
  <si>
    <t>阿克陶县社会保险基金支出合计</t>
  </si>
  <si>
    <t>一、企业职工基本养老保险基金本年收支结余</t>
  </si>
  <si>
    <t>二、失业保险基金本年收支结余</t>
  </si>
  <si>
    <t>三、城镇职工基本医疗保险基金本年收支结余</t>
  </si>
  <si>
    <t>四、工伤保险基金本年收支结余</t>
  </si>
  <si>
    <t>五、生育保险基金本年收支结余</t>
  </si>
  <si>
    <t>六、城乡居民养老保险基金本年收支结余</t>
  </si>
  <si>
    <t>七、城镇居民基本医疗保险基金本年收支结余</t>
  </si>
  <si>
    <t>八、新型农村合作医疗基金本年收支结余</t>
  </si>
  <si>
    <t>阿克陶县社会保险基金本年收支结余</t>
  </si>
  <si>
    <t>一、企业职工基本养老保险基金年末累计结余</t>
  </si>
  <si>
    <t>二、失业保险基金年末累计结余</t>
  </si>
  <si>
    <t>三、城镇职工基本医疗保险基金年末累计结余</t>
  </si>
  <si>
    <t>四、工伤保险基金年末累计结余</t>
  </si>
  <si>
    <t>五、生育保险基金年末累计结余</t>
  </si>
  <si>
    <t>六、城乡居民养老保险基金年末累计结余</t>
  </si>
  <si>
    <t>七、城镇居民基本医疗保险基金年末累计结余</t>
  </si>
  <si>
    <t>八、新型农村合作医疗基金年末累计结余</t>
  </si>
  <si>
    <t>阿克陶县社会保险基金年末累计结余</t>
  </si>
  <si>
    <t>预算数为上年执行数的%</t>
  </si>
  <si>
    <t>阿克陶县社会保险基金收入合计</t>
  </si>
  <si>
    <t xml:space="preserve">    其中：保险费收入</t>
  </si>
  <si>
    <t xml:space="preserve">          利息收入</t>
  </si>
  <si>
    <t xml:space="preserve">          财政补贴收入</t>
  </si>
  <si>
    <t xml:space="preserve">          其他各项收入</t>
  </si>
  <si>
    <t>二、失业保险基金收入</t>
  </si>
  <si>
    <t>四、工伤保险基金收入</t>
  </si>
  <si>
    <t>六、城乡居民养老保险基金收入</t>
  </si>
  <si>
    <t>八、新型农村合作医疗基金收入</t>
  </si>
  <si>
    <t xml:space="preserve">    其中：居民基本医疗保险基金支出</t>
  </si>
  <si>
    <t>执行数为预算数的%</t>
  </si>
  <si>
    <t>一、企业职工基本养老保险基金收入</t>
  </si>
  <si>
    <t>三、城镇职工基本医疗保险基金收入</t>
  </si>
  <si>
    <t>五、生育保险基金收入</t>
  </si>
  <si>
    <t>七、城镇居民基本医疗保险基金收入</t>
  </si>
  <si>
    <t>一、企业职工基本养老保险基金支出</t>
  </si>
  <si>
    <t>三、城镇职工基本医疗保险基金支出</t>
  </si>
  <si>
    <t>四、工伤保险基金支出</t>
  </si>
  <si>
    <t>五、生育保险基金支出</t>
  </si>
  <si>
    <t>六、城乡居民养老保险基金支出</t>
  </si>
  <si>
    <t>阿克陶县社会保险基金支出合计</t>
  </si>
  <si>
    <t>阿克陶县社会保险基金年末累计结余</t>
  </si>
  <si>
    <t>阿克陶县社会保险基金收入合计</t>
  </si>
  <si>
    <t>五、生育保险基金支出</t>
  </si>
  <si>
    <t>六、城乡居民养老保险基金支出</t>
  </si>
  <si>
    <t>八、新型农村合作医疗基金支出</t>
  </si>
  <si>
    <t>一、一般公共服务支出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</si>
  <si>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</si>
  <si>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</si>
  <si>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</si>
  <si>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</si>
  <si>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</si>
  <si>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</si>
  <si>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</si>
  <si>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</si>
  <si>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</si>
  <si>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</si>
  <si>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</si>
  <si>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</si>
  <si>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</si>
  <si>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收入总计</t>
  </si>
  <si>
    <t>上级补助收入</t>
  </si>
  <si>
    <t>返还性收入</t>
  </si>
  <si>
    <t>一般性转移支付收入</t>
  </si>
  <si>
    <t>收入合计</t>
  </si>
  <si>
    <t>十六、粮油物资储备支出</t>
  </si>
  <si>
    <t>十七、其他支出(类)</t>
  </si>
  <si>
    <t>单位：万元</t>
  </si>
  <si>
    <t>比上年增（减)%</t>
  </si>
  <si>
    <t>一般公共服务</t>
  </si>
  <si>
    <t>教育</t>
  </si>
  <si>
    <t>文化体育与传媒</t>
  </si>
  <si>
    <t>社会保障和就业</t>
  </si>
  <si>
    <t>环境保护</t>
  </si>
  <si>
    <t>城乡社区事务</t>
  </si>
  <si>
    <t>农林水事务</t>
  </si>
  <si>
    <t>交通运输</t>
  </si>
  <si>
    <t>支出总计</t>
  </si>
  <si>
    <t>二、非税收入小计</t>
  </si>
  <si>
    <t>政府性基金收入</t>
  </si>
  <si>
    <t>政府性基金收入</t>
  </si>
  <si>
    <t>政府性基金支出</t>
  </si>
  <si>
    <t>政府性基金支出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</si>
  <si>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</si>
  <si>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</si>
  <si>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</si>
  <si>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义务教育等转移支付收入</t>
  </si>
  <si>
    <t xml:space="preserve">    基本养老保险和低保等转移支付收入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</si>
  <si>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</si>
  <si>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</si>
  <si>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</si>
  <si>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  均衡性转移支付补助收入</t>
  </si>
  <si>
    <t xml:space="preserve">    体制补助收入</t>
  </si>
  <si>
    <t xml:space="preserve">    所得税基数返还收入</t>
  </si>
  <si>
    <t xml:space="preserve">    增值税和消费性税收返还收入</t>
  </si>
  <si>
    <t>专项转移支付收入</t>
  </si>
  <si>
    <t>　　　　　失业保险上级上解支出</t>
  </si>
  <si>
    <t>　　　　　生育保险上级上解支出</t>
  </si>
  <si>
    <t>　　　　　城镇职工基本医疗保险上级上解支出</t>
  </si>
  <si>
    <t>　　　　　城镇居民基本医疗保险上级上解支出</t>
  </si>
  <si>
    <t>　　　　　工伤保险上级上解支出</t>
  </si>
  <si>
    <t>2.因公出国（境）费用</t>
  </si>
  <si>
    <t>3.公务接待费</t>
  </si>
  <si>
    <t>4.公务用车费</t>
  </si>
  <si>
    <t>其中：（1）公务用车运行维护费</t>
  </si>
  <si>
    <t xml:space="preserve">      （2）公务用车购置费</t>
  </si>
  <si>
    <t>合   计</t>
  </si>
  <si>
    <t>2015年完成数</t>
  </si>
  <si>
    <t>2016年预算数</t>
  </si>
  <si>
    <t xml:space="preserve">     散装水泥专项资金收入</t>
  </si>
  <si>
    <t xml:space="preserve">     旅游发展基金收入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</si>
  <si>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</si>
  <si>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</si>
  <si>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</si>
  <si>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政府住房基金收入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</si>
  <si>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</si>
  <si>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</si>
  <si>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</si>
  <si>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</si>
  <si>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</si>
  <si>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</si>
  <si>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</si>
  <si>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</si>
  <si>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</si>
  <si>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水土保持补偿费收入</t>
  </si>
  <si>
    <t xml:space="preserve">     污水处理费收入</t>
  </si>
  <si>
    <t xml:space="preserve">     其他政府性基金收入</t>
  </si>
  <si>
    <t xml:space="preserve">  工商行政管理事务</t>
  </si>
  <si>
    <t xml:space="preserve">    行政运行</t>
  </si>
  <si>
    <t xml:space="preserve">  质量技术监督与检验检疫事务</t>
  </si>
  <si>
    <t xml:space="preserve">    事业运行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</si>
  <si>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其他一般公共服务支出(款)</t>
    </r>
  </si>
  <si>
    <t xml:space="preserve">    其他一般公共服务支出(项)</t>
  </si>
  <si>
    <t>二、国防支出</t>
  </si>
  <si>
    <t xml:space="preserve">  国防动员</t>
  </si>
  <si>
    <t xml:space="preserve">    民兵</t>
  </si>
  <si>
    <t>三、公共安全支出</t>
  </si>
  <si>
    <t xml:space="preserve">  临时救助</t>
  </si>
  <si>
    <t xml:space="preserve">    临时救助支出</t>
  </si>
  <si>
    <t xml:space="preserve">  特困人员供养</t>
  </si>
  <si>
    <t xml:space="preserve">    农村五保供养支出</t>
  </si>
  <si>
    <t xml:space="preserve">  其他生活救助</t>
  </si>
  <si>
    <t xml:space="preserve">    其他公立医院支出</t>
  </si>
  <si>
    <t xml:space="preserve">    卫生监督机构</t>
  </si>
  <si>
    <t xml:space="preserve">    其他公共卫生支出</t>
  </si>
  <si>
    <t xml:space="preserve">    执法监管</t>
  </si>
  <si>
    <t xml:space="preserve">  制造业</t>
  </si>
  <si>
    <t xml:space="preserve">    纺织业</t>
  </si>
  <si>
    <t>1.因公出国（境）费用</t>
  </si>
  <si>
    <t>2.公务接待费</t>
  </si>
  <si>
    <t>3.公务用车费</t>
  </si>
  <si>
    <t>2014年执行数</t>
  </si>
  <si>
    <t>表一：2016年阿克陶县公共财政预算收入情况</t>
  </si>
  <si>
    <t>2016年完成数</t>
  </si>
  <si>
    <t>表二：2016年阿克陶县公共财政预算支出情况</t>
  </si>
  <si>
    <t>2015年完成数</t>
  </si>
  <si>
    <t>表三：2016年阿克陶县政府性基金收入情况</t>
  </si>
  <si>
    <t>表四：2016年阿克陶县政府性基金支出情况</t>
  </si>
  <si>
    <t>表五：2017年阿克陶县公共预算收入安排情况</t>
  </si>
  <si>
    <t>2016年完成数</t>
  </si>
  <si>
    <t>2017年预算数</t>
  </si>
  <si>
    <t>表六：2017年阿克陶县公共财政预算支出安排情况</t>
  </si>
  <si>
    <t>表七：2017年阿克陶县政府性基金收入安排情况</t>
  </si>
  <si>
    <t>表八：2017年阿克陶县政府性基金支出情况</t>
  </si>
  <si>
    <r>
      <t>201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年完成数</t>
    </r>
  </si>
  <si>
    <r>
      <t>201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年预算数</t>
    </r>
  </si>
  <si>
    <t>表九：2017年阿克陶县公共财政预算收支安排明细</t>
  </si>
  <si>
    <t>表十：2016年阿克陶县“三公经费”支出情况</t>
  </si>
  <si>
    <t>表十一：2017年阿克陶县“三公经费”预算安排情况</t>
  </si>
  <si>
    <t>2016年阿克陶县社会保险基金预算收入表</t>
  </si>
  <si>
    <r>
      <t>2016</t>
    </r>
    <r>
      <rPr>
        <b/>
        <sz val="22"/>
        <color indexed="8"/>
        <rFont val="仿宋"/>
        <family val="3"/>
      </rPr>
      <t>年阿克陶县社会保险基金预算支出执行情况表</t>
    </r>
  </si>
  <si>
    <t>2016年执行数</t>
  </si>
  <si>
    <t>2016年执行数为预算数的%</t>
  </si>
  <si>
    <t>2016年执行数</t>
  </si>
  <si>
    <r>
      <t>2017</t>
    </r>
    <r>
      <rPr>
        <b/>
        <sz val="22"/>
        <color indexed="8"/>
        <rFont val="仿宋"/>
        <family val="3"/>
      </rPr>
      <t>年阿克陶县社会保险基金预算收入表</t>
    </r>
  </si>
  <si>
    <r>
      <t>2017</t>
    </r>
    <r>
      <rPr>
        <b/>
        <sz val="22"/>
        <color indexed="8"/>
        <rFont val="仿宋"/>
        <family val="3"/>
      </rPr>
      <t>年阿克陶县社会保险基金预算支出表</t>
    </r>
  </si>
  <si>
    <r>
      <t>2017</t>
    </r>
    <r>
      <rPr>
        <b/>
        <sz val="22"/>
        <color indexed="8"/>
        <rFont val="仿宋"/>
        <family val="3"/>
      </rPr>
      <t>年阿克陶县社会保险基金预算结余表</t>
    </r>
  </si>
  <si>
    <t>2016年执行数</t>
  </si>
  <si>
    <r>
      <t>201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年完成数</t>
    </r>
  </si>
  <si>
    <t>2017年完成数</t>
  </si>
  <si>
    <r>
      <t>2016</t>
    </r>
    <r>
      <rPr>
        <b/>
        <sz val="22"/>
        <color indexed="8"/>
        <rFont val="仿宋"/>
        <family val="3"/>
      </rPr>
      <t>年阿克陶县社会保险基金预算结余执行情况表</t>
    </r>
  </si>
  <si>
    <r>
      <t xml:space="preserve">    增值税（</t>
    </r>
    <r>
      <rPr>
        <sz val="11"/>
        <color indexed="8"/>
        <rFont val="宋体"/>
        <family val="0"/>
      </rPr>
      <t>50</t>
    </r>
    <r>
      <rPr>
        <sz val="11"/>
        <color theme="1"/>
        <rFont val="Calibri"/>
        <family val="0"/>
      </rPr>
      <t>%）</t>
    </r>
  </si>
  <si>
    <t xml:space="preserve">    农村综合改革转移支付收入</t>
  </si>
  <si>
    <t>非税收入</t>
  </si>
  <si>
    <t>转移性收入</t>
  </si>
  <si>
    <t xml:space="preserve">    国有资本经营收入</t>
  </si>
  <si>
    <t xml:space="preserve">    国有资本经营预算转移支付收入</t>
  </si>
  <si>
    <t>国有资本经营收入</t>
  </si>
  <si>
    <t>2017年阿克陶县国有资本经营预算支出</t>
  </si>
  <si>
    <t>2017年阿克陶县国有资本经营预算收入</t>
  </si>
  <si>
    <t>社会保障和就业支出</t>
  </si>
  <si>
    <t>国有资本经营预算支出</t>
  </si>
  <si>
    <t>转移性支出</t>
  </si>
  <si>
    <t xml:space="preserve">    补充全国社会保障基金</t>
  </si>
  <si>
    <t xml:space="preserve">    解决历史遗留问题及改革成本支出</t>
  </si>
  <si>
    <t xml:space="preserve">    国有企业政策性补贴</t>
  </si>
  <si>
    <t xml:space="preserve">    金融国有资本经营预算支出</t>
  </si>
  <si>
    <t xml:space="preserve">    其他国有资本经营预算支出</t>
  </si>
  <si>
    <t xml:space="preserve">    国有资本经营预算转移支付</t>
  </si>
  <si>
    <t xml:space="preserve">    调出资金</t>
  </si>
  <si>
    <t>国有资本经营支出</t>
  </si>
  <si>
    <t xml:space="preserve">    治安管理</t>
  </si>
  <si>
    <t xml:space="preserve">    “两庭”建设</t>
  </si>
  <si>
    <t xml:space="preserve">    农村中小学校舍建设</t>
  </si>
  <si>
    <t xml:space="preserve">  新闻出版广播影视</t>
  </si>
  <si>
    <t xml:space="preserve">    电影</t>
  </si>
  <si>
    <t xml:space="preserve">    版权管理</t>
  </si>
  <si>
    <t xml:space="preserve">  行政事业单位离退休</t>
  </si>
  <si>
    <t xml:space="preserve">    未归口管理的行政单位离退休</t>
  </si>
  <si>
    <t xml:space="preserve">    职业培训补贴</t>
  </si>
  <si>
    <t xml:space="preserve">    其他就业补助支出</t>
  </si>
  <si>
    <t xml:space="preserve">    残疾人就业和扶贫</t>
  </si>
  <si>
    <t xml:space="preserve">  自然灾害生活救助</t>
  </si>
  <si>
    <t xml:space="preserve">    中央自然灾害生活补助</t>
  </si>
  <si>
    <t xml:space="preserve">  红十字事业</t>
  </si>
  <si>
    <t xml:space="preserve">    行政运行</t>
  </si>
  <si>
    <t xml:space="preserve">    中医(民族)医院</t>
  </si>
  <si>
    <t xml:space="preserve">    计划生育服务</t>
  </si>
  <si>
    <t xml:space="preserve">  天然林保护</t>
  </si>
  <si>
    <t xml:space="preserve">    森林管护</t>
  </si>
  <si>
    <t xml:space="preserve">    退耕还林工程建设</t>
  </si>
  <si>
    <t xml:space="preserve">    科技转化与推广服务</t>
  </si>
  <si>
    <t xml:space="preserve">    防灾救灾</t>
  </si>
  <si>
    <t xml:space="preserve">    农田水利</t>
  </si>
  <si>
    <t xml:space="preserve">    江河湖库水系综合整治</t>
  </si>
  <si>
    <t xml:space="preserve">    土地治理</t>
  </si>
  <si>
    <t xml:space="preserve">    产业化经营</t>
  </si>
  <si>
    <t xml:space="preserve">    其他农业综合开发支出</t>
  </si>
  <si>
    <t xml:space="preserve">    农村综合改革示范试点补助</t>
  </si>
  <si>
    <t xml:space="preserve">  普惠金融发展支出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</si>
  <si>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</si>
  <si>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</si>
  <si>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</si>
  <si>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其他普惠金融发展支出</t>
  </si>
  <si>
    <t xml:space="preserve">    公路运输管理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</si>
  <si>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</si>
  <si>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</si>
  <si>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</si>
  <si>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</si>
  <si>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</si>
  <si>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其他旅游业管理与服务支出</t>
  </si>
  <si>
    <t xml:space="preserve">    地质矿产资源利用与保护</t>
  </si>
  <si>
    <t xml:space="preserve">    少数民族地区游牧民定居工程</t>
  </si>
  <si>
    <t>十八、债务付息支出</t>
  </si>
  <si>
    <t xml:space="preserve">  地方政府一般债务付息支出</t>
  </si>
  <si>
    <t xml:space="preserve">    地方政府其他一般债务付息支出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</si>
</sst>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%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仿宋"/>
      <family val="3"/>
    </font>
    <font>
      <b/>
      <sz val="2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10" fontId="0" fillId="0" borderId="0" xfId="33" applyNumberFormat="1" applyFont="1" applyAlignment="1">
      <alignment vertical="center"/>
    </xf>
    <xf numFmtId="10" fontId="3" fillId="0" borderId="0" xfId="33" applyNumberFormat="1" applyFont="1" applyAlignment="1">
      <alignment vertical="center"/>
    </xf>
    <xf numFmtId="10" fontId="3" fillId="0" borderId="0" xfId="33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0" fontId="0" fillId="0" borderId="10" xfId="33" applyNumberFormat="1" applyFont="1" applyBorder="1" applyAlignment="1">
      <alignment vertical="center"/>
    </xf>
    <xf numFmtId="10" fontId="3" fillId="0" borderId="10" xfId="0" applyNumberFormat="1" applyFont="1" applyBorder="1" applyAlignment="1">
      <alignment horizontal="center" vertical="center" wrapText="1"/>
    </xf>
    <xf numFmtId="10" fontId="3" fillId="0" borderId="10" xfId="33" applyNumberFormat="1" applyFont="1" applyBorder="1" applyAlignment="1">
      <alignment vertical="center"/>
    </xf>
    <xf numFmtId="185" fontId="3" fillId="0" borderId="10" xfId="33" applyNumberFormat="1" applyFont="1" applyBorder="1" applyAlignment="1">
      <alignment vertical="center"/>
    </xf>
    <xf numFmtId="185" fontId="0" fillId="0" borderId="10" xfId="33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0" fontId="1" fillId="0" borderId="0" xfId="33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0" fontId="3" fillId="0" borderId="11" xfId="33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85" fontId="0" fillId="0" borderId="14" xfId="0" applyNumberForma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84" fontId="0" fillId="33" borderId="10" xfId="0" applyNumberFormat="1" applyFill="1" applyBorder="1" applyAlignment="1">
      <alignment vertical="center"/>
    </xf>
    <xf numFmtId="0" fontId="30" fillId="0" borderId="1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6">
      <selection activeCell="D20" sqref="D20"/>
    </sheetView>
  </sheetViews>
  <sheetFormatPr defaultColWidth="9.140625" defaultRowHeight="15"/>
  <cols>
    <col min="1" max="1" width="32.00390625" style="0" customWidth="1"/>
    <col min="2" max="2" width="16.140625" style="0" hidden="1" customWidth="1"/>
    <col min="3" max="4" width="18.7109375" style="0" customWidth="1"/>
    <col min="5" max="5" width="14.8515625" style="0" customWidth="1"/>
  </cols>
  <sheetData>
    <row r="1" spans="1:5" ht="39.75" customHeight="1">
      <c r="A1" s="73" t="s">
        <v>480</v>
      </c>
      <c r="B1" s="73"/>
      <c r="C1" s="73"/>
      <c r="D1" s="73"/>
      <c r="E1" s="73"/>
    </row>
    <row r="2" spans="1:5" ht="27" customHeight="1">
      <c r="A2" s="1"/>
      <c r="B2" s="1"/>
      <c r="C2" s="1"/>
      <c r="D2" s="1"/>
      <c r="E2" s="1" t="s">
        <v>53</v>
      </c>
    </row>
    <row r="3" spans="1:5" s="1" customFormat="1" ht="21" customHeight="1">
      <c r="A3" s="29" t="s">
        <v>0</v>
      </c>
      <c r="B3" s="27" t="s">
        <v>2</v>
      </c>
      <c r="C3" s="27" t="s">
        <v>435</v>
      </c>
      <c r="D3" s="59" t="s">
        <v>481</v>
      </c>
      <c r="E3" s="32" t="s">
        <v>3</v>
      </c>
    </row>
    <row r="4" spans="1:5" s="1" customFormat="1" ht="21" customHeight="1">
      <c r="A4" s="2" t="s">
        <v>5</v>
      </c>
      <c r="B4" s="52">
        <f>SUM(B5:B20)</f>
        <v>18671</v>
      </c>
      <c r="C4" s="52">
        <f>SUM(C5:C20)</f>
        <v>18078</v>
      </c>
      <c r="D4" s="52">
        <f>SUM(D5:D20)</f>
        <v>22851</v>
      </c>
      <c r="E4" s="6">
        <f>(D4/C4-1)</f>
        <v>0.2640225688682376</v>
      </c>
    </row>
    <row r="5" spans="1:5" ht="21" customHeight="1">
      <c r="A5" t="s">
        <v>7</v>
      </c>
      <c r="B5" s="34">
        <v>3125</v>
      </c>
      <c r="C5" s="34">
        <v>1222</v>
      </c>
      <c r="D5" s="34">
        <f>7598-2885</f>
        <v>4713</v>
      </c>
      <c r="E5" s="4">
        <f aca="true" t="shared" si="0" ref="E5:E30">(D5/C5-1)</f>
        <v>2.8567921440261865</v>
      </c>
    </row>
    <row r="6" spans="1:5" ht="21" customHeight="1">
      <c r="A6" t="s">
        <v>9</v>
      </c>
      <c r="B6" s="34"/>
      <c r="C6" s="34">
        <v>599</v>
      </c>
      <c r="D6" s="34">
        <f>5770/2</f>
        <v>2885</v>
      </c>
      <c r="E6" s="4">
        <f t="shared" si="0"/>
        <v>3.8163606010016693</v>
      </c>
    </row>
    <row r="7" spans="1:5" ht="21" customHeight="1">
      <c r="A7" t="s">
        <v>11</v>
      </c>
      <c r="B7" s="34">
        <v>8541</v>
      </c>
      <c r="C7" s="34">
        <v>7287</v>
      </c>
      <c r="D7" s="34">
        <v>5360</v>
      </c>
      <c r="E7" s="4">
        <f t="shared" si="0"/>
        <v>-0.2644435295732126</v>
      </c>
    </row>
    <row r="8" spans="1:5" ht="21" customHeight="1">
      <c r="A8" t="s">
        <v>13</v>
      </c>
      <c r="B8" s="34">
        <v>1045</v>
      </c>
      <c r="C8" s="34">
        <v>997</v>
      </c>
      <c r="D8" s="34">
        <f>200+1200+2-195</f>
        <v>1207</v>
      </c>
      <c r="E8" s="4">
        <f t="shared" si="0"/>
        <v>0.2106318956870612</v>
      </c>
    </row>
    <row r="9" spans="1:5" ht="21" customHeight="1">
      <c r="A9" t="s">
        <v>15</v>
      </c>
      <c r="B9" s="34"/>
      <c r="C9" s="34"/>
      <c r="D9" s="34"/>
      <c r="E9" s="4"/>
    </row>
    <row r="10" spans="1:5" ht="21" customHeight="1">
      <c r="A10" t="s">
        <v>17</v>
      </c>
      <c r="B10" s="34">
        <v>1163</v>
      </c>
      <c r="C10" s="34">
        <v>820</v>
      </c>
      <c r="D10" s="34">
        <v>1566</v>
      </c>
      <c r="E10" s="4">
        <f t="shared" si="0"/>
        <v>0.9097560975609755</v>
      </c>
    </row>
    <row r="11" spans="1:5" ht="21" customHeight="1">
      <c r="A11" t="s">
        <v>19</v>
      </c>
      <c r="B11" s="34">
        <v>2823</v>
      </c>
      <c r="C11" s="34">
        <v>743</v>
      </c>
      <c r="D11" s="34">
        <v>1600</v>
      </c>
      <c r="E11" s="4">
        <f t="shared" si="0"/>
        <v>1.1534320323014806</v>
      </c>
    </row>
    <row r="12" spans="1:5" ht="21" customHeight="1">
      <c r="A12" t="s">
        <v>21</v>
      </c>
      <c r="B12" s="34"/>
      <c r="C12" s="34"/>
      <c r="D12" s="34"/>
      <c r="E12" s="4"/>
    </row>
    <row r="13" spans="1:5" ht="21" customHeight="1">
      <c r="A13" t="s">
        <v>23</v>
      </c>
      <c r="B13" s="34">
        <v>1025</v>
      </c>
      <c r="C13" s="34">
        <v>635</v>
      </c>
      <c r="D13" s="34">
        <v>1050</v>
      </c>
      <c r="E13" s="4">
        <f t="shared" si="0"/>
        <v>0.6535433070866141</v>
      </c>
    </row>
    <row r="14" spans="1:5" ht="21" customHeight="1">
      <c r="A14" t="s">
        <v>25</v>
      </c>
      <c r="B14" s="34">
        <v>56</v>
      </c>
      <c r="C14" s="34">
        <v>60</v>
      </c>
      <c r="D14" s="34">
        <v>45</v>
      </c>
      <c r="E14" s="4">
        <f t="shared" si="0"/>
        <v>-0.25</v>
      </c>
    </row>
    <row r="15" spans="1:5" ht="21" customHeight="1">
      <c r="A15" t="s">
        <v>27</v>
      </c>
      <c r="B15" s="34">
        <v>246</v>
      </c>
      <c r="C15" s="34">
        <v>191</v>
      </c>
      <c r="D15" s="34">
        <v>195</v>
      </c>
      <c r="E15" s="4">
        <f t="shared" si="0"/>
        <v>0.020942408376963373</v>
      </c>
    </row>
    <row r="16" spans="1:5" ht="21" customHeight="1">
      <c r="A16" t="s">
        <v>29</v>
      </c>
      <c r="B16" s="34">
        <v>26</v>
      </c>
      <c r="C16" s="34">
        <v>35</v>
      </c>
      <c r="D16" s="34">
        <v>45</v>
      </c>
      <c r="E16" s="4">
        <f t="shared" si="0"/>
        <v>0.2857142857142858</v>
      </c>
    </row>
    <row r="17" spans="1:5" ht="21" customHeight="1">
      <c r="A17" t="s">
        <v>31</v>
      </c>
      <c r="B17" s="34">
        <v>72</v>
      </c>
      <c r="C17" s="34">
        <v>65</v>
      </c>
      <c r="D17" s="34">
        <v>120</v>
      </c>
      <c r="E17" s="4">
        <f t="shared" si="0"/>
        <v>0.8461538461538463</v>
      </c>
    </row>
    <row r="18" spans="1:5" ht="21" customHeight="1">
      <c r="A18" t="s">
        <v>33</v>
      </c>
      <c r="B18" s="34">
        <v>146</v>
      </c>
      <c r="C18" s="34">
        <v>335</v>
      </c>
      <c r="D18" s="34">
        <v>470</v>
      </c>
      <c r="E18" s="4">
        <f t="shared" si="0"/>
        <v>0.4029850746268657</v>
      </c>
    </row>
    <row r="19" spans="1:5" ht="21" customHeight="1">
      <c r="A19" t="s">
        <v>35</v>
      </c>
      <c r="B19" s="34">
        <v>127</v>
      </c>
      <c r="C19" s="34">
        <v>4986</v>
      </c>
      <c r="D19" s="34">
        <v>3540</v>
      </c>
      <c r="E19" s="4">
        <f t="shared" si="0"/>
        <v>-0.29001203369434414</v>
      </c>
    </row>
    <row r="20" spans="1:5" ht="21" customHeight="1">
      <c r="A20" t="s">
        <v>37</v>
      </c>
      <c r="B20" s="34">
        <v>276</v>
      </c>
      <c r="C20" s="34">
        <v>103</v>
      </c>
      <c r="D20" s="34">
        <v>55</v>
      </c>
      <c r="E20" s="4">
        <f t="shared" si="0"/>
        <v>-0.46601941747572817</v>
      </c>
    </row>
    <row r="21" spans="2:5" ht="21" customHeight="1">
      <c r="B21" s="34"/>
      <c r="C21" s="34"/>
      <c r="D21" s="34"/>
      <c r="E21" s="4"/>
    </row>
    <row r="22" spans="1:5" ht="21" customHeight="1">
      <c r="A22" t="s">
        <v>39</v>
      </c>
      <c r="B22" s="33">
        <f>SUM(B23:B28)</f>
        <v>2422</v>
      </c>
      <c r="C22" s="33">
        <f>SUM(C23:C28)</f>
        <v>6296</v>
      </c>
      <c r="D22" s="33">
        <f>SUM(D23:D28)</f>
        <v>7549</v>
      </c>
      <c r="E22" s="5">
        <f t="shared" si="0"/>
        <v>0.19901524777636603</v>
      </c>
    </row>
    <row r="23" spans="1:5" ht="21" customHeight="1">
      <c r="A23" t="s">
        <v>41</v>
      </c>
      <c r="B23" s="34">
        <v>599</v>
      </c>
      <c r="C23" s="34">
        <v>629</v>
      </c>
      <c r="D23" s="34">
        <v>1192</v>
      </c>
      <c r="E23" s="4">
        <f t="shared" si="0"/>
        <v>0.8950715421303657</v>
      </c>
    </row>
    <row r="24" spans="1:5" ht="21" customHeight="1">
      <c r="A24" t="s">
        <v>43</v>
      </c>
      <c r="B24" s="34">
        <v>976</v>
      </c>
      <c r="C24" s="34">
        <v>1514</v>
      </c>
      <c r="D24" s="34">
        <v>2887</v>
      </c>
      <c r="E24" s="4">
        <f t="shared" si="0"/>
        <v>0.9068692206076618</v>
      </c>
    </row>
    <row r="25" spans="1:5" ht="21" customHeight="1">
      <c r="A25" t="s">
        <v>45</v>
      </c>
      <c r="B25" s="34">
        <v>391</v>
      </c>
      <c r="C25" s="34">
        <v>1359</v>
      </c>
      <c r="D25" s="34">
        <v>1200</v>
      </c>
      <c r="E25" s="4">
        <f t="shared" si="0"/>
        <v>-0.11699779249448128</v>
      </c>
    </row>
    <row r="26" spans="1:5" ht="21" customHeight="1">
      <c r="A26" t="s">
        <v>47</v>
      </c>
      <c r="B26" s="34"/>
      <c r="C26" s="34"/>
      <c r="D26" s="34"/>
      <c r="E26" s="4"/>
    </row>
    <row r="27" spans="1:5" ht="21" customHeight="1">
      <c r="A27" t="s">
        <v>48</v>
      </c>
      <c r="B27" s="34">
        <v>456</v>
      </c>
      <c r="C27" s="34">
        <v>2788</v>
      </c>
      <c r="D27" s="34">
        <v>2270</v>
      </c>
      <c r="E27" s="4">
        <f t="shared" si="0"/>
        <v>-0.18579626972740315</v>
      </c>
    </row>
    <row r="28" spans="1:5" ht="21" customHeight="1">
      <c r="A28" t="s">
        <v>50</v>
      </c>
      <c r="B28" s="34"/>
      <c r="C28" s="34">
        <v>6</v>
      </c>
      <c r="D28" s="34"/>
      <c r="E28" s="4">
        <f t="shared" si="0"/>
        <v>-1</v>
      </c>
    </row>
    <row r="29" spans="2:5" ht="21" customHeight="1">
      <c r="B29" s="34"/>
      <c r="C29" s="34"/>
      <c r="D29" s="34"/>
      <c r="E29" s="4"/>
    </row>
    <row r="30" spans="1:5" ht="21" customHeight="1">
      <c r="A30" s="28" t="s">
        <v>51</v>
      </c>
      <c r="B30" s="35">
        <f>B4+B22</f>
        <v>21093</v>
      </c>
      <c r="C30" s="35">
        <f>C4+C22</f>
        <v>24374</v>
      </c>
      <c r="D30" s="35">
        <f>D4+D22</f>
        <v>30400</v>
      </c>
      <c r="E30" s="48">
        <f t="shared" si="0"/>
        <v>0.2472306556166406</v>
      </c>
    </row>
  </sheetData>
  <sheetProtection/>
  <mergeCells count="1">
    <mergeCell ref="A1:E1"/>
  </mergeCells>
  <printOptions/>
  <pageMargins left="0.7086614173228347" right="0.56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1" sqref="A1:E11"/>
    </sheetView>
  </sheetViews>
  <sheetFormatPr defaultColWidth="9.140625" defaultRowHeight="15"/>
  <cols>
    <col min="1" max="1" width="40.57421875" style="0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73" t="s">
        <v>495</v>
      </c>
      <c r="B1" s="73"/>
      <c r="C1" s="73"/>
      <c r="D1" s="73"/>
      <c r="E1" s="73"/>
    </row>
    <row r="2" ht="27" customHeight="1">
      <c r="E2" s="25" t="s">
        <v>53</v>
      </c>
    </row>
    <row r="3" spans="1:5" s="1" customFormat="1" ht="21" customHeight="1">
      <c r="A3" s="29" t="s">
        <v>0</v>
      </c>
      <c r="B3" s="27" t="s">
        <v>2</v>
      </c>
      <c r="C3" s="27" t="s">
        <v>435</v>
      </c>
      <c r="D3" s="65" t="s">
        <v>506</v>
      </c>
      <c r="E3" s="32" t="s">
        <v>52</v>
      </c>
    </row>
    <row r="4" spans="1:5" ht="21" customHeight="1">
      <c r="A4" s="66" t="s">
        <v>476</v>
      </c>
      <c r="B4" s="34">
        <v>6</v>
      </c>
      <c r="C4" s="34">
        <v>0</v>
      </c>
      <c r="D4" s="34">
        <v>0</v>
      </c>
      <c r="E4" s="58"/>
    </row>
    <row r="5" spans="1:5" ht="21" customHeight="1">
      <c r="A5" s="66" t="s">
        <v>477</v>
      </c>
      <c r="B5" s="34">
        <v>284.6</v>
      </c>
      <c r="C5" s="34">
        <v>142.2</v>
      </c>
      <c r="D5" s="34">
        <v>126</v>
      </c>
      <c r="E5" s="58">
        <f>(D5-C5)/C5</f>
        <v>-0.11392405063291132</v>
      </c>
    </row>
    <row r="6" spans="1:5" ht="21" customHeight="1">
      <c r="A6" s="66" t="s">
        <v>478</v>
      </c>
      <c r="B6" s="34">
        <f>B7+B8</f>
        <v>1384.9</v>
      </c>
      <c r="C6" s="34">
        <v>955.76</v>
      </c>
      <c r="D6" s="34">
        <v>901</v>
      </c>
      <c r="E6" s="58">
        <f>(D6-C6)/C6</f>
        <v>-0.05729471833933204</v>
      </c>
    </row>
    <row r="7" spans="1:5" ht="21" customHeight="1">
      <c r="A7" t="s">
        <v>432</v>
      </c>
      <c r="B7" s="34">
        <v>917.4</v>
      </c>
      <c r="C7" s="34">
        <v>587.38</v>
      </c>
      <c r="D7" s="34">
        <v>576</v>
      </c>
      <c r="E7" s="58">
        <f>(D7-C7)/C7</f>
        <v>-0.019374170043242867</v>
      </c>
    </row>
    <row r="8" spans="1:5" ht="21" customHeight="1">
      <c r="A8" s="57" t="s">
        <v>433</v>
      </c>
      <c r="B8" s="34">
        <v>467.5</v>
      </c>
      <c r="C8" s="34">
        <v>368.38</v>
      </c>
      <c r="D8" s="34">
        <v>325</v>
      </c>
      <c r="E8" s="58">
        <f>(D8-C8)/C8</f>
        <v>-0.11775883598458113</v>
      </c>
    </row>
    <row r="9" spans="2:5" ht="21" customHeight="1">
      <c r="B9" s="34"/>
      <c r="C9" s="34"/>
      <c r="D9" s="34"/>
      <c r="E9" s="58"/>
    </row>
    <row r="10" spans="2:5" ht="21" customHeight="1">
      <c r="B10" s="34"/>
      <c r="C10" s="34"/>
      <c r="D10" s="34"/>
      <c r="E10" s="58"/>
    </row>
    <row r="11" spans="1:5" ht="21" customHeight="1">
      <c r="A11" s="28" t="s">
        <v>434</v>
      </c>
      <c r="B11" s="61" t="e">
        <f>#REF!+B4+B5+B6</f>
        <v>#REF!</v>
      </c>
      <c r="C11" s="61">
        <f>C4+C5+C6</f>
        <v>1097.96</v>
      </c>
      <c r="D11" s="61">
        <f>D4+D5+D6</f>
        <v>1027</v>
      </c>
      <c r="E11" s="60">
        <f>(D11-C11)/C11</f>
        <v>-0.06462894823126529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1" sqref="A1:D11"/>
    </sheetView>
  </sheetViews>
  <sheetFormatPr defaultColWidth="9.140625" defaultRowHeight="15"/>
  <cols>
    <col min="1" max="1" width="40.421875" style="0" bestFit="1" customWidth="1"/>
    <col min="2" max="2" width="13.421875" style="0" customWidth="1"/>
    <col min="3" max="3" width="13.421875" style="0" bestFit="1" customWidth="1"/>
    <col min="4" max="4" width="15.28125" style="0" bestFit="1" customWidth="1"/>
  </cols>
  <sheetData>
    <row r="1" spans="1:4" ht="39.75" customHeight="1">
      <c r="A1" s="77" t="s">
        <v>496</v>
      </c>
      <c r="B1" s="77"/>
      <c r="C1" s="77"/>
      <c r="D1" s="77"/>
    </row>
    <row r="2" ht="27" customHeight="1">
      <c r="D2" s="25" t="s">
        <v>53</v>
      </c>
    </row>
    <row r="3" spans="1:4" s="1" customFormat="1" ht="21" customHeight="1">
      <c r="A3" s="29" t="s">
        <v>0</v>
      </c>
      <c r="B3" s="27" t="s">
        <v>481</v>
      </c>
      <c r="C3" s="65" t="s">
        <v>507</v>
      </c>
      <c r="D3" s="32" t="s">
        <v>52</v>
      </c>
    </row>
    <row r="4" spans="1:4" ht="21" customHeight="1">
      <c r="A4" t="s">
        <v>429</v>
      </c>
      <c r="B4" s="34">
        <v>0</v>
      </c>
      <c r="C4" s="34">
        <v>0</v>
      </c>
      <c r="D4" s="58">
        <v>0</v>
      </c>
    </row>
    <row r="5" spans="1:4" ht="21" customHeight="1">
      <c r="A5" t="s">
        <v>430</v>
      </c>
      <c r="B5" s="34">
        <v>126</v>
      </c>
      <c r="C5" s="34">
        <v>120</v>
      </c>
      <c r="D5" s="58">
        <f>(C5-B5)/B5</f>
        <v>-0.047619047619047616</v>
      </c>
    </row>
    <row r="6" spans="1:4" ht="21" customHeight="1">
      <c r="A6" t="s">
        <v>431</v>
      </c>
      <c r="B6" s="34">
        <v>901</v>
      </c>
      <c r="C6" s="34">
        <v>896</v>
      </c>
      <c r="D6" s="58">
        <f>(C6-B6)/B6</f>
        <v>-0.005549389567147614</v>
      </c>
    </row>
    <row r="7" spans="1:4" ht="21" customHeight="1">
      <c r="A7" t="s">
        <v>432</v>
      </c>
      <c r="B7" s="34">
        <v>576</v>
      </c>
      <c r="C7" s="34">
        <v>573</v>
      </c>
      <c r="D7" s="58">
        <f>(C7-B7)/B7</f>
        <v>-0.005208333333333333</v>
      </c>
    </row>
    <row r="8" spans="1:4" ht="21" customHeight="1">
      <c r="A8" s="57" t="s">
        <v>433</v>
      </c>
      <c r="B8" s="34">
        <v>325</v>
      </c>
      <c r="C8" s="34">
        <v>323</v>
      </c>
      <c r="D8" s="58">
        <f>(C8-B8)/B8</f>
        <v>-0.006153846153846154</v>
      </c>
    </row>
    <row r="9" spans="2:4" ht="21" customHeight="1">
      <c r="B9" s="34"/>
      <c r="C9" s="34"/>
      <c r="D9" s="58"/>
    </row>
    <row r="10" spans="2:4" ht="21" customHeight="1">
      <c r="B10" s="34"/>
      <c r="C10" s="34"/>
      <c r="D10" s="58"/>
    </row>
    <row r="11" spans="1:4" ht="21" customHeight="1">
      <c r="A11" s="28" t="s">
        <v>434</v>
      </c>
      <c r="B11" s="61">
        <f>B4+B5+B6</f>
        <v>1027</v>
      </c>
      <c r="C11" s="61">
        <f>C4+C5+C6</f>
        <v>1016</v>
      </c>
      <c r="D11" s="60">
        <f>(C11-B11)/B11</f>
        <v>-0.010710808179162609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4">
      <selection activeCell="E36" sqref="E36"/>
    </sheetView>
  </sheetViews>
  <sheetFormatPr defaultColWidth="9.140625" defaultRowHeight="15"/>
  <cols>
    <col min="1" max="1" width="41.28125" style="0" customWidth="1"/>
    <col min="2" max="2" width="11.8515625" style="0" hidden="1" customWidth="1"/>
    <col min="3" max="5" width="15.57421875" style="0" customWidth="1"/>
    <col min="6" max="6" width="9.421875" style="0" bestFit="1" customWidth="1"/>
  </cols>
  <sheetData>
    <row r="1" spans="1:5" ht="39.75" customHeight="1">
      <c r="A1" s="73" t="s">
        <v>497</v>
      </c>
      <c r="B1" s="73"/>
      <c r="C1" s="73"/>
      <c r="D1" s="73"/>
      <c r="E1" s="73"/>
    </row>
    <row r="2" ht="27" customHeight="1">
      <c r="E2" s="25" t="s">
        <v>311</v>
      </c>
    </row>
    <row r="3" spans="1:5" s="8" customFormat="1" ht="27">
      <c r="A3" s="9" t="s">
        <v>310</v>
      </c>
      <c r="B3" s="9" t="s">
        <v>312</v>
      </c>
      <c r="C3" s="9" t="s">
        <v>436</v>
      </c>
      <c r="D3" s="9" t="s">
        <v>499</v>
      </c>
      <c r="E3" s="9" t="s">
        <v>358</v>
      </c>
    </row>
    <row r="4" spans="1:6" ht="13.5">
      <c r="A4" s="12" t="s">
        <v>348</v>
      </c>
      <c r="B4" s="13">
        <f aca="true" t="shared" si="0" ref="B4:D8">B9+B14+B19+B24+B29+B34+B39+B44</f>
        <v>20684.97</v>
      </c>
      <c r="C4" s="13">
        <f t="shared" si="0"/>
        <v>30152.090000000004</v>
      </c>
      <c r="D4" s="13">
        <f t="shared" si="0"/>
        <v>29753.449999999997</v>
      </c>
      <c r="E4" s="18">
        <f>D4/C4</f>
        <v>0.9867790259315355</v>
      </c>
      <c r="F4" s="67"/>
    </row>
    <row r="5" spans="1:5" ht="13.5">
      <c r="A5" s="10" t="s">
        <v>349</v>
      </c>
      <c r="B5" s="11">
        <f t="shared" si="0"/>
        <v>12734</v>
      </c>
      <c r="C5" s="11">
        <v>19312.790000000005</v>
      </c>
      <c r="D5" s="11">
        <f>D10+D15+D20+D25+D30+D35+D40+D45</f>
        <v>19162.119999999995</v>
      </c>
      <c r="E5" s="16">
        <f aca="true" t="shared" si="1" ref="E5:E47">D5/C5</f>
        <v>0.9921984343018275</v>
      </c>
    </row>
    <row r="6" spans="1:5" ht="13.5">
      <c r="A6" s="10" t="s">
        <v>350</v>
      </c>
      <c r="B6" s="11">
        <f t="shared" si="0"/>
        <v>273.8</v>
      </c>
      <c r="C6" s="11">
        <v>342.3</v>
      </c>
      <c r="D6" s="11">
        <f>D11+D16+D21+D26+D31+D36+D41+D46</f>
        <v>472.93</v>
      </c>
      <c r="E6" s="16">
        <f t="shared" si="1"/>
        <v>1.3816243061641835</v>
      </c>
    </row>
    <row r="7" spans="1:5" ht="13.5">
      <c r="A7" s="10" t="s">
        <v>351</v>
      </c>
      <c r="B7" s="11">
        <f t="shared" si="0"/>
        <v>7350</v>
      </c>
      <c r="C7" s="11">
        <v>10497</v>
      </c>
      <c r="D7" s="11">
        <f>D12+D17+D22+D27+D32+D37+D42+D47</f>
        <v>10118.4</v>
      </c>
      <c r="E7" s="16">
        <f t="shared" si="1"/>
        <v>0.9639325521577593</v>
      </c>
    </row>
    <row r="8" spans="1:5" ht="13.5">
      <c r="A8" s="10" t="s">
        <v>352</v>
      </c>
      <c r="B8" s="11">
        <f t="shared" si="0"/>
        <v>327.17</v>
      </c>
      <c r="C8" s="11">
        <v>0</v>
      </c>
      <c r="D8" s="11">
        <f>D13+D18+D23+D28+D33+D38+D43+D48</f>
        <v>0</v>
      </c>
      <c r="E8" s="16" t="e">
        <f t="shared" si="1"/>
        <v>#DIV/0!</v>
      </c>
    </row>
    <row r="9" spans="1:5" ht="13.5">
      <c r="A9" s="12" t="s">
        <v>359</v>
      </c>
      <c r="B9" s="13">
        <f>SUM(B10:B13)</f>
        <v>4990</v>
      </c>
      <c r="C9" s="13">
        <f>SUM(C10:C13)</f>
        <v>6234.62</v>
      </c>
      <c r="D9" s="13">
        <f>SUM(D10:D13)</f>
        <v>5451.92</v>
      </c>
      <c r="E9" s="18">
        <f t="shared" si="1"/>
        <v>0.8744590688766918</v>
      </c>
    </row>
    <row r="10" spans="1:5" ht="13.5">
      <c r="A10" s="10" t="s">
        <v>349</v>
      </c>
      <c r="B10" s="11">
        <v>4560</v>
      </c>
      <c r="C10" s="11">
        <v>6142.62</v>
      </c>
      <c r="D10" s="11">
        <v>5258.61</v>
      </c>
      <c r="E10" s="16">
        <f t="shared" si="1"/>
        <v>0.8560858395928773</v>
      </c>
    </row>
    <row r="11" spans="1:5" ht="13.5">
      <c r="A11" s="10" t="s">
        <v>350</v>
      </c>
      <c r="B11" s="11">
        <v>104</v>
      </c>
      <c r="C11" s="11">
        <v>92</v>
      </c>
      <c r="D11" s="71">
        <v>193.31</v>
      </c>
      <c r="E11" s="16">
        <f t="shared" si="1"/>
        <v>2.1011956521739132</v>
      </c>
    </row>
    <row r="12" spans="1:5" ht="13.5">
      <c r="A12" s="10" t="s">
        <v>351</v>
      </c>
      <c r="B12" s="11">
        <v>0</v>
      </c>
      <c r="C12" s="11"/>
      <c r="D12" s="11"/>
      <c r="E12" s="16"/>
    </row>
    <row r="13" spans="1:5" ht="13.5">
      <c r="A13" s="10" t="s">
        <v>352</v>
      </c>
      <c r="B13" s="11">
        <v>326</v>
      </c>
      <c r="C13" s="11"/>
      <c r="D13" s="11"/>
      <c r="E13" s="16" t="e">
        <f t="shared" si="1"/>
        <v>#DIV/0!</v>
      </c>
    </row>
    <row r="14" spans="1:5" ht="13.5">
      <c r="A14" s="12" t="s">
        <v>353</v>
      </c>
      <c r="B14" s="13">
        <f>SUM(B15:B18)</f>
        <v>1021.1</v>
      </c>
      <c r="C14" s="13">
        <f>SUM(C15:C18)</f>
        <v>1170.25</v>
      </c>
      <c r="D14" s="13">
        <f>SUM(D15:D18)</f>
        <v>915.4399999999999</v>
      </c>
      <c r="E14" s="18">
        <f t="shared" si="1"/>
        <v>0.7822602008117923</v>
      </c>
    </row>
    <row r="15" spans="1:5" ht="13.5">
      <c r="A15" s="10" t="s">
        <v>349</v>
      </c>
      <c r="B15" s="11">
        <v>1010</v>
      </c>
      <c r="C15" s="11">
        <v>1157.75</v>
      </c>
      <c r="D15" s="11">
        <v>910.77</v>
      </c>
      <c r="E15" s="16">
        <f t="shared" si="1"/>
        <v>0.7866724249622111</v>
      </c>
    </row>
    <row r="16" spans="1:5" ht="13.5">
      <c r="A16" s="10" t="s">
        <v>350</v>
      </c>
      <c r="B16" s="11">
        <v>11</v>
      </c>
      <c r="C16" s="11">
        <v>12.5</v>
      </c>
      <c r="D16" s="11">
        <v>4.67</v>
      </c>
      <c r="E16" s="16">
        <f t="shared" si="1"/>
        <v>0.3736</v>
      </c>
    </row>
    <row r="17" spans="1:5" ht="13.5">
      <c r="A17" s="10" t="s">
        <v>351</v>
      </c>
      <c r="B17" s="11">
        <v>0</v>
      </c>
      <c r="C17" s="11"/>
      <c r="D17" s="11"/>
      <c r="E17" s="16"/>
    </row>
    <row r="18" spans="1:5" ht="13.5">
      <c r="A18" s="10" t="s">
        <v>352</v>
      </c>
      <c r="B18" s="11">
        <v>0.1</v>
      </c>
      <c r="C18" s="11"/>
      <c r="D18" s="11"/>
      <c r="E18" s="16" t="e">
        <f t="shared" si="1"/>
        <v>#DIV/0!</v>
      </c>
    </row>
    <row r="19" spans="1:5" ht="13.5">
      <c r="A19" s="12" t="s">
        <v>360</v>
      </c>
      <c r="B19" s="13">
        <f>SUM(B20:B23)</f>
        <v>5352</v>
      </c>
      <c r="C19" s="13">
        <f>SUM(C20:C23)</f>
        <v>8285.37</v>
      </c>
      <c r="D19" s="13">
        <f>SUM(D20:D23)</f>
        <v>8867.42</v>
      </c>
      <c r="E19" s="18">
        <f t="shared" si="1"/>
        <v>1.070250332815553</v>
      </c>
    </row>
    <row r="20" spans="1:5" ht="13.5">
      <c r="A20" s="10" t="s">
        <v>349</v>
      </c>
      <c r="B20" s="11">
        <v>5326</v>
      </c>
      <c r="C20" s="11">
        <v>8207.37</v>
      </c>
      <c r="D20" s="11">
        <v>8729.54</v>
      </c>
      <c r="E20" s="16">
        <f t="shared" si="1"/>
        <v>1.0636220860031897</v>
      </c>
    </row>
    <row r="21" spans="1:5" ht="13.5">
      <c r="A21" s="10" t="s">
        <v>350</v>
      </c>
      <c r="B21" s="11">
        <v>25</v>
      </c>
      <c r="C21" s="11">
        <v>78</v>
      </c>
      <c r="D21" s="11">
        <v>137.88</v>
      </c>
      <c r="E21" s="16">
        <f t="shared" si="1"/>
        <v>1.7676923076923077</v>
      </c>
    </row>
    <row r="22" spans="1:5" ht="13.5">
      <c r="A22" s="10" t="s">
        <v>351</v>
      </c>
      <c r="B22" s="11">
        <v>0</v>
      </c>
      <c r="C22" s="11"/>
      <c r="D22" s="11"/>
      <c r="E22" s="16"/>
    </row>
    <row r="23" spans="1:5" ht="13.5">
      <c r="A23" s="10" t="s">
        <v>352</v>
      </c>
      <c r="B23" s="11">
        <v>1</v>
      </c>
      <c r="C23" s="11"/>
      <c r="D23" s="11"/>
      <c r="E23" s="16" t="e">
        <f t="shared" si="1"/>
        <v>#DIV/0!</v>
      </c>
    </row>
    <row r="24" spans="1:5" ht="13.5">
      <c r="A24" s="12" t="s">
        <v>354</v>
      </c>
      <c r="B24" s="13">
        <f>SUM(B25:B28)</f>
        <v>438.03</v>
      </c>
      <c r="C24" s="13">
        <f>SUM(C25:C28)</f>
        <v>1102.54</v>
      </c>
      <c r="D24" s="13">
        <f>SUM(D25:D28)</f>
        <v>532.16</v>
      </c>
      <c r="E24" s="18">
        <f t="shared" si="1"/>
        <v>0.48266729551762294</v>
      </c>
    </row>
    <row r="25" spans="1:5" ht="13.5">
      <c r="A25" s="10" t="s">
        <v>349</v>
      </c>
      <c r="B25" s="11">
        <v>430</v>
      </c>
      <c r="C25" s="11">
        <v>1087.54</v>
      </c>
      <c r="D25" s="11">
        <v>527.16</v>
      </c>
      <c r="E25" s="16">
        <f t="shared" si="1"/>
        <v>0.4847269985471799</v>
      </c>
    </row>
    <row r="26" spans="1:5" ht="13.5">
      <c r="A26" s="10" t="s">
        <v>350</v>
      </c>
      <c r="B26" s="11">
        <v>8</v>
      </c>
      <c r="C26" s="11">
        <v>15</v>
      </c>
      <c r="D26" s="11">
        <v>5</v>
      </c>
      <c r="E26" s="16">
        <f t="shared" si="1"/>
        <v>0.3333333333333333</v>
      </c>
    </row>
    <row r="27" spans="1:5" ht="13.5">
      <c r="A27" s="10" t="s">
        <v>351</v>
      </c>
      <c r="B27" s="11">
        <v>0</v>
      </c>
      <c r="C27" s="11"/>
      <c r="D27" s="11"/>
      <c r="E27" s="16"/>
    </row>
    <row r="28" spans="1:5" ht="13.5">
      <c r="A28" s="10" t="s">
        <v>352</v>
      </c>
      <c r="B28" s="11">
        <v>0.03</v>
      </c>
      <c r="C28" s="11"/>
      <c r="D28" s="11"/>
      <c r="E28" s="16"/>
    </row>
    <row r="29" spans="1:5" ht="13.5">
      <c r="A29" s="12" t="s">
        <v>361</v>
      </c>
      <c r="B29" s="13">
        <f>SUM(B30:B33)</f>
        <v>221.04</v>
      </c>
      <c r="C29" s="13">
        <f>SUM(C30:C33)</f>
        <v>120.86</v>
      </c>
      <c r="D29" s="13">
        <f>SUM(D30:D33)</f>
        <v>286.39</v>
      </c>
      <c r="E29" s="18">
        <f t="shared" si="1"/>
        <v>2.3696011914611947</v>
      </c>
    </row>
    <row r="30" spans="1:5" ht="13.5">
      <c r="A30" s="10" t="s">
        <v>349</v>
      </c>
      <c r="B30" s="11">
        <v>213</v>
      </c>
      <c r="C30" s="11">
        <v>117.86</v>
      </c>
      <c r="D30" s="11">
        <v>284.96</v>
      </c>
      <c r="E30" s="16">
        <f t="shared" si="1"/>
        <v>2.417783811301544</v>
      </c>
    </row>
    <row r="31" spans="1:5" ht="13.5">
      <c r="A31" s="10" t="s">
        <v>350</v>
      </c>
      <c r="B31" s="11">
        <v>8</v>
      </c>
      <c r="C31" s="11">
        <v>3</v>
      </c>
      <c r="D31" s="11">
        <v>1.43</v>
      </c>
      <c r="E31" s="16">
        <f t="shared" si="1"/>
        <v>0.4766666666666666</v>
      </c>
    </row>
    <row r="32" spans="1:5" ht="13.5">
      <c r="A32" s="10" t="s">
        <v>351</v>
      </c>
      <c r="B32" s="11">
        <v>0</v>
      </c>
      <c r="C32" s="11"/>
      <c r="D32" s="11"/>
      <c r="E32" s="16"/>
    </row>
    <row r="33" spans="1:5" ht="13.5">
      <c r="A33" s="10" t="s">
        <v>352</v>
      </c>
      <c r="B33" s="11">
        <v>0.04</v>
      </c>
      <c r="C33" s="11"/>
      <c r="D33" s="11"/>
      <c r="E33" s="16" t="e">
        <f t="shared" si="1"/>
        <v>#DIV/0!</v>
      </c>
    </row>
    <row r="34" spans="1:5" ht="13.5">
      <c r="A34" s="12" t="s">
        <v>355</v>
      </c>
      <c r="B34" s="13">
        <f>SUM(B35:B38)</f>
        <v>1673</v>
      </c>
      <c r="C34" s="13">
        <f>SUM(C35:C38)</f>
        <v>3495.52</v>
      </c>
      <c r="D34" s="13">
        <f>SUM(D35:D38)</f>
        <v>2750.09</v>
      </c>
      <c r="E34" s="18">
        <f t="shared" si="1"/>
        <v>0.7867470362063441</v>
      </c>
    </row>
    <row r="35" spans="1:5" ht="13.5">
      <c r="A35" s="10" t="s">
        <v>349</v>
      </c>
      <c r="B35" s="11">
        <v>635</v>
      </c>
      <c r="C35" s="11">
        <v>785.52</v>
      </c>
      <c r="D35" s="11">
        <v>601.97</v>
      </c>
      <c r="E35" s="16">
        <f t="shared" si="1"/>
        <v>0.7663331296466036</v>
      </c>
    </row>
    <row r="36" spans="1:5" ht="13.5">
      <c r="A36" s="10" t="s">
        <v>350</v>
      </c>
      <c r="B36" s="11">
        <v>78</v>
      </c>
      <c r="C36" s="11">
        <v>10</v>
      </c>
      <c r="D36" s="11">
        <v>2.12</v>
      </c>
      <c r="E36" s="16">
        <f t="shared" si="1"/>
        <v>0.21200000000000002</v>
      </c>
    </row>
    <row r="37" spans="1:5" ht="13.5">
      <c r="A37" s="10" t="s">
        <v>351</v>
      </c>
      <c r="B37" s="11">
        <v>960</v>
      </c>
      <c r="C37" s="11">
        <v>2700</v>
      </c>
      <c r="D37" s="11">
        <v>2146</v>
      </c>
      <c r="E37" s="16">
        <f t="shared" si="1"/>
        <v>0.7948148148148149</v>
      </c>
    </row>
    <row r="38" spans="1:5" ht="13.5">
      <c r="A38" s="10" t="s">
        <v>352</v>
      </c>
      <c r="B38" s="11">
        <v>0</v>
      </c>
      <c r="C38" s="11"/>
      <c r="D38" s="11"/>
      <c r="E38" s="16"/>
    </row>
    <row r="39" spans="1:5" ht="13.5">
      <c r="A39" s="12" t="s">
        <v>362</v>
      </c>
      <c r="B39" s="13">
        <f>SUM(B40:B43)</f>
        <v>84.8</v>
      </c>
      <c r="C39" s="13">
        <f>SUM(C40:C43)</f>
        <v>226.93</v>
      </c>
      <c r="D39" s="13">
        <f>SUM(D40:D43)</f>
        <v>164.67999999999998</v>
      </c>
      <c r="E39" s="18">
        <f t="shared" si="1"/>
        <v>0.7256863349931696</v>
      </c>
    </row>
    <row r="40" spans="1:5" ht="13.5">
      <c r="A40" s="10" t="s">
        <v>349</v>
      </c>
      <c r="B40" s="11">
        <v>50</v>
      </c>
      <c r="C40" s="11">
        <v>189.13</v>
      </c>
      <c r="D40" s="11">
        <v>163.67</v>
      </c>
      <c r="E40" s="16">
        <f t="shared" si="1"/>
        <v>0.8653835985829852</v>
      </c>
    </row>
    <row r="41" spans="1:5" ht="13.5">
      <c r="A41" s="10" t="s">
        <v>350</v>
      </c>
      <c r="B41" s="11">
        <v>4.8</v>
      </c>
      <c r="C41" s="11">
        <v>0.8</v>
      </c>
      <c r="D41" s="11">
        <v>1.01</v>
      </c>
      <c r="E41" s="16">
        <f t="shared" si="1"/>
        <v>1.2625</v>
      </c>
    </row>
    <row r="42" spans="1:5" ht="13.5">
      <c r="A42" s="10" t="s">
        <v>351</v>
      </c>
      <c r="B42" s="11">
        <v>30</v>
      </c>
      <c r="C42" s="11">
        <v>37</v>
      </c>
      <c r="D42" s="11"/>
      <c r="E42" s="16">
        <f t="shared" si="1"/>
        <v>0</v>
      </c>
    </row>
    <row r="43" spans="1:5" ht="13.5">
      <c r="A43" s="10" t="s">
        <v>352</v>
      </c>
      <c r="B43" s="11"/>
      <c r="C43" s="11"/>
      <c r="D43" s="11"/>
      <c r="E43" s="16"/>
    </row>
    <row r="44" spans="1:5" ht="13.5">
      <c r="A44" s="12" t="s">
        <v>356</v>
      </c>
      <c r="B44" s="13">
        <f>SUM(B45:B48)</f>
        <v>6905</v>
      </c>
      <c r="C44" s="13">
        <f>SUM(C45:C48)</f>
        <v>9516</v>
      </c>
      <c r="D44" s="13">
        <f>SUM(D45:D48)</f>
        <v>10785.35</v>
      </c>
      <c r="E44" s="18">
        <f t="shared" si="1"/>
        <v>1.1333911307271964</v>
      </c>
    </row>
    <row r="45" spans="1:5" ht="13.5">
      <c r="A45" s="10" t="s">
        <v>349</v>
      </c>
      <c r="B45" s="11">
        <v>510</v>
      </c>
      <c r="C45" s="11">
        <v>1625</v>
      </c>
      <c r="D45" s="11">
        <v>2685.44</v>
      </c>
      <c r="E45" s="16">
        <f t="shared" si="1"/>
        <v>1.6525784615384616</v>
      </c>
    </row>
    <row r="46" spans="1:5" ht="13.5">
      <c r="A46" s="10" t="s">
        <v>350</v>
      </c>
      <c r="B46" s="11">
        <v>35</v>
      </c>
      <c r="C46" s="11">
        <v>131</v>
      </c>
      <c r="D46" s="11">
        <v>127.51</v>
      </c>
      <c r="E46" s="16">
        <f t="shared" si="1"/>
        <v>0.9733587786259542</v>
      </c>
    </row>
    <row r="47" spans="1:5" ht="13.5">
      <c r="A47" s="10" t="s">
        <v>351</v>
      </c>
      <c r="B47" s="11">
        <v>6360</v>
      </c>
      <c r="C47" s="11">
        <v>7760</v>
      </c>
      <c r="D47" s="11">
        <v>7972.4</v>
      </c>
      <c r="E47" s="16">
        <f t="shared" si="1"/>
        <v>1.0273711340206184</v>
      </c>
    </row>
    <row r="48" spans="1:5" ht="13.5">
      <c r="A48" s="10" t="s">
        <v>352</v>
      </c>
      <c r="B48" s="10"/>
      <c r="C48" s="10"/>
      <c r="D48" s="10"/>
      <c r="E48" s="10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25">
      <selection activeCell="E35" sqref="A1:E35"/>
    </sheetView>
  </sheetViews>
  <sheetFormatPr defaultColWidth="9.140625" defaultRowHeight="15"/>
  <cols>
    <col min="1" max="1" width="41.28125" style="0" customWidth="1"/>
    <col min="2" max="2" width="12.8515625" style="0" hidden="1" customWidth="1"/>
    <col min="3" max="5" width="15.57421875" style="0" customWidth="1"/>
    <col min="6" max="6" width="9.421875" style="0" bestFit="1" customWidth="1"/>
  </cols>
  <sheetData>
    <row r="1" spans="1:5" ht="39.75" customHeight="1">
      <c r="A1" s="73" t="s">
        <v>498</v>
      </c>
      <c r="B1" s="78"/>
      <c r="C1" s="78"/>
      <c r="D1" s="78"/>
      <c r="E1" s="78"/>
    </row>
    <row r="2" ht="27" customHeight="1">
      <c r="E2" s="25" t="s">
        <v>311</v>
      </c>
    </row>
    <row r="3" spans="1:5" s="8" customFormat="1" ht="27">
      <c r="A3" s="9" t="s">
        <v>310</v>
      </c>
      <c r="B3" s="9" t="s">
        <v>312</v>
      </c>
      <c r="C3" s="9" t="s">
        <v>436</v>
      </c>
      <c r="D3" s="9" t="s">
        <v>499</v>
      </c>
      <c r="E3" s="9" t="s">
        <v>500</v>
      </c>
    </row>
    <row r="4" spans="1:6" ht="20.25" customHeight="1">
      <c r="A4" s="12" t="s">
        <v>368</v>
      </c>
      <c r="B4" s="13">
        <f>B7+B10+B14+B18+B22+B26+B29+B33</f>
        <v>19656.96</v>
      </c>
      <c r="C4" s="13">
        <f>C7+C10+C14+C18+C22+C26+C29+C33</f>
        <v>25806.579999999998</v>
      </c>
      <c r="D4" s="13">
        <f>D7+D10+D14+D18+D22+D26+D29+D33</f>
        <v>26896.870000000003</v>
      </c>
      <c r="E4" s="18">
        <f>D4/C4</f>
        <v>1.0422485273135769</v>
      </c>
      <c r="F4" s="67"/>
    </row>
    <row r="5" spans="1:5" ht="20.25" customHeight="1">
      <c r="A5" s="10" t="s">
        <v>316</v>
      </c>
      <c r="B5" s="11">
        <f>B8+B11+B15+B19+B23+B27+B30+B34</f>
        <v>14557.2</v>
      </c>
      <c r="C5" s="11">
        <v>25806.579999999998</v>
      </c>
      <c r="D5" s="11">
        <f>+D8+D12+D15+D16+D20+D24+D27+D30+D31+D34</f>
        <v>26896.870000000003</v>
      </c>
      <c r="E5" s="16">
        <f aca="true" t="shared" si="0" ref="E5:E35">D5/C5</f>
        <v>1.0422485273135769</v>
      </c>
    </row>
    <row r="6" spans="1:5" ht="20.25" customHeight="1">
      <c r="A6" s="10" t="s">
        <v>315</v>
      </c>
      <c r="B6" s="11">
        <f>B9+B13+B17+B21+B25+B28+B32+B35</f>
        <v>481.1</v>
      </c>
      <c r="C6" s="11"/>
      <c r="D6" s="11"/>
      <c r="E6" s="16" t="e">
        <f t="shared" si="0"/>
        <v>#DIV/0!</v>
      </c>
    </row>
    <row r="7" spans="1:6" ht="20.25" customHeight="1">
      <c r="A7" s="12" t="s">
        <v>363</v>
      </c>
      <c r="B7" s="13">
        <f>SUM(B8:B9)</f>
        <v>4555</v>
      </c>
      <c r="C7" s="13">
        <f>SUM(C8:C9)</f>
        <v>5967</v>
      </c>
      <c r="D7" s="13">
        <f>SUM(D8:D9)</f>
        <v>5873.74</v>
      </c>
      <c r="E7" s="18">
        <f t="shared" si="0"/>
        <v>0.9843707055471761</v>
      </c>
      <c r="F7" s="67"/>
    </row>
    <row r="8" spans="1:5" ht="20.25" customHeight="1">
      <c r="A8" s="10" t="s">
        <v>314</v>
      </c>
      <c r="B8" s="11">
        <v>4320</v>
      </c>
      <c r="C8" s="11">
        <v>5967</v>
      </c>
      <c r="D8" s="11">
        <v>5873.74</v>
      </c>
      <c r="E8" s="16">
        <f t="shared" si="0"/>
        <v>0.9843707055471761</v>
      </c>
    </row>
    <row r="9" spans="1:5" ht="20.25" customHeight="1">
      <c r="A9" s="10" t="s">
        <v>315</v>
      </c>
      <c r="B9" s="11">
        <v>235</v>
      </c>
      <c r="C9" s="11"/>
      <c r="D9" s="11"/>
      <c r="E9" s="16" t="e">
        <f t="shared" si="0"/>
        <v>#DIV/0!</v>
      </c>
    </row>
    <row r="10" spans="1:6" ht="20.25" customHeight="1">
      <c r="A10" s="12" t="s">
        <v>317</v>
      </c>
      <c r="B10" s="13">
        <f>SUM(B11:B13)</f>
        <v>817.2</v>
      </c>
      <c r="C10" s="13">
        <f>SUM(C11:C13)</f>
        <v>996</v>
      </c>
      <c r="D10" s="13">
        <f>SUM(D11:D13)</f>
        <v>913.95</v>
      </c>
      <c r="E10" s="18">
        <f t="shared" si="0"/>
        <v>0.9176204819277108</v>
      </c>
      <c r="F10" s="67"/>
    </row>
    <row r="11" spans="1:5" ht="20.25" customHeight="1">
      <c r="A11" s="10" t="s">
        <v>322</v>
      </c>
      <c r="B11" s="11">
        <v>4.2</v>
      </c>
      <c r="C11" s="11"/>
      <c r="D11" s="11"/>
      <c r="E11" s="16" t="e">
        <f t="shared" si="0"/>
        <v>#DIV/0!</v>
      </c>
    </row>
    <row r="12" spans="1:5" ht="20.25" customHeight="1">
      <c r="A12" s="54" t="s">
        <v>424</v>
      </c>
      <c r="B12" s="11">
        <v>812</v>
      </c>
      <c r="C12" s="11">
        <v>996</v>
      </c>
      <c r="D12" s="11">
        <v>913.95</v>
      </c>
      <c r="E12" s="16">
        <f t="shared" si="0"/>
        <v>0.9176204819277108</v>
      </c>
    </row>
    <row r="13" spans="1:5" ht="20.25" customHeight="1">
      <c r="A13" s="10" t="s">
        <v>315</v>
      </c>
      <c r="B13" s="11">
        <v>1</v>
      </c>
      <c r="C13" s="11"/>
      <c r="D13" s="11"/>
      <c r="E13" s="16" t="e">
        <f t="shared" si="0"/>
        <v>#DIV/0!</v>
      </c>
    </row>
    <row r="14" spans="1:5" ht="20.25" customHeight="1">
      <c r="A14" s="12" t="s">
        <v>364</v>
      </c>
      <c r="B14" s="13">
        <f>SUM(B15:B17)</f>
        <v>5833.66</v>
      </c>
      <c r="C14" s="13">
        <f>SUM(C15:C17)</f>
        <v>7093.78</v>
      </c>
      <c r="D14" s="13">
        <f>SUM(D15:D17)</f>
        <v>8709.24</v>
      </c>
      <c r="E14" s="18">
        <f t="shared" si="0"/>
        <v>1.2277290809695254</v>
      </c>
    </row>
    <row r="15" spans="1:5" ht="20.25" customHeight="1">
      <c r="A15" s="10" t="s">
        <v>324</v>
      </c>
      <c r="B15" s="11">
        <v>2618</v>
      </c>
      <c r="C15" s="11">
        <v>2287.25</v>
      </c>
      <c r="D15" s="11">
        <v>2645.08</v>
      </c>
      <c r="E15" s="16">
        <f t="shared" si="0"/>
        <v>1.1564455131708382</v>
      </c>
    </row>
    <row r="16" spans="1:5" ht="20.25" customHeight="1">
      <c r="A16" s="53" t="s">
        <v>426</v>
      </c>
      <c r="B16" s="11">
        <v>3215.66</v>
      </c>
      <c r="C16" s="11">
        <v>4806.53</v>
      </c>
      <c r="D16" s="11">
        <v>6064.16</v>
      </c>
      <c r="E16" s="16">
        <f t="shared" si="0"/>
        <v>1.2616502965757002</v>
      </c>
    </row>
    <row r="17" spans="1:5" ht="20.25" customHeight="1">
      <c r="A17" s="10" t="s">
        <v>315</v>
      </c>
      <c r="B17" s="11"/>
      <c r="C17" s="11"/>
      <c r="D17" s="11"/>
      <c r="E17" s="16"/>
    </row>
    <row r="18" spans="1:5" ht="20.25" customHeight="1">
      <c r="A18" s="12" t="s">
        <v>365</v>
      </c>
      <c r="B18" s="13">
        <f>SUM(B19:B21)</f>
        <v>602.1</v>
      </c>
      <c r="C18" s="13">
        <f>SUM(C19:C21)</f>
        <v>1046.24</v>
      </c>
      <c r="D18" s="13">
        <f>SUM(D19:D21)</f>
        <v>503.03</v>
      </c>
      <c r="E18" s="18">
        <f t="shared" si="0"/>
        <v>0.4807979048784217</v>
      </c>
    </row>
    <row r="19" spans="1:5" ht="20.25" customHeight="1">
      <c r="A19" s="10" t="s">
        <v>323</v>
      </c>
      <c r="B19" s="11">
        <v>206</v>
      </c>
      <c r="C19" s="11"/>
      <c r="D19" s="11"/>
      <c r="E19" s="16" t="e">
        <f t="shared" si="0"/>
        <v>#DIV/0!</v>
      </c>
    </row>
    <row r="20" spans="1:5" ht="20.25" customHeight="1">
      <c r="A20" s="53" t="s">
        <v>428</v>
      </c>
      <c r="B20" s="11">
        <v>396</v>
      </c>
      <c r="C20" s="11">
        <v>1046.24</v>
      </c>
      <c r="D20" s="11">
        <v>503.03</v>
      </c>
      <c r="E20" s="16">
        <f t="shared" si="0"/>
        <v>0.4807979048784217</v>
      </c>
    </row>
    <row r="21" spans="1:5" ht="20.25" customHeight="1">
      <c r="A21" s="10" t="s">
        <v>315</v>
      </c>
      <c r="B21" s="11">
        <v>0.1</v>
      </c>
      <c r="C21" s="11"/>
      <c r="D21" s="11"/>
      <c r="E21" s="16" t="e">
        <f t="shared" si="0"/>
        <v>#DIV/0!</v>
      </c>
    </row>
    <row r="22" spans="1:5" ht="20.25" customHeight="1">
      <c r="A22" s="12" t="s">
        <v>366</v>
      </c>
      <c r="B22" s="13">
        <f>SUM(B23:B25)</f>
        <v>338</v>
      </c>
      <c r="C22" s="13">
        <f>SUM(C23:C25)</f>
        <v>58.75</v>
      </c>
      <c r="D22" s="13">
        <f>SUM(D23:D25)</f>
        <v>283.4</v>
      </c>
      <c r="E22" s="18">
        <f t="shared" si="0"/>
        <v>4.823829787234042</v>
      </c>
    </row>
    <row r="23" spans="1:5" ht="20.25" customHeight="1">
      <c r="A23" s="10" t="s">
        <v>325</v>
      </c>
      <c r="B23" s="11">
        <v>156</v>
      </c>
      <c r="C23" s="11"/>
      <c r="D23" s="11"/>
      <c r="E23" s="16" t="e">
        <f t="shared" si="0"/>
        <v>#DIV/0!</v>
      </c>
    </row>
    <row r="24" spans="1:5" ht="20.25" customHeight="1">
      <c r="A24" s="53" t="s">
        <v>425</v>
      </c>
      <c r="B24" s="11">
        <v>182</v>
      </c>
      <c r="C24" s="11">
        <v>58.75</v>
      </c>
      <c r="D24" s="11">
        <v>283.4</v>
      </c>
      <c r="E24" s="16">
        <f t="shared" si="0"/>
        <v>4.823829787234042</v>
      </c>
    </row>
    <row r="25" spans="1:5" ht="20.25" customHeight="1">
      <c r="A25" s="10" t="s">
        <v>315</v>
      </c>
      <c r="B25" s="11"/>
      <c r="C25" s="11"/>
      <c r="D25" s="11"/>
      <c r="E25" s="16"/>
    </row>
    <row r="26" spans="1:5" ht="20.25" customHeight="1">
      <c r="A26" s="12" t="s">
        <v>367</v>
      </c>
      <c r="B26" s="13">
        <f>SUM(B27:B28)</f>
        <v>833</v>
      </c>
      <c r="C26" s="13">
        <f>SUM(C27:C28)</f>
        <v>2309.45</v>
      </c>
      <c r="D26" s="13">
        <f>SUM(D27:D28)</f>
        <v>1600</v>
      </c>
      <c r="E26" s="18">
        <f t="shared" si="0"/>
        <v>0.6928056463660179</v>
      </c>
    </row>
    <row r="27" spans="1:5" ht="20.25" customHeight="1">
      <c r="A27" s="10" t="s">
        <v>326</v>
      </c>
      <c r="B27" s="11">
        <v>817</v>
      </c>
      <c r="C27" s="11">
        <v>2309.45</v>
      </c>
      <c r="D27" s="11">
        <v>1600</v>
      </c>
      <c r="E27" s="16">
        <f t="shared" si="0"/>
        <v>0.6928056463660179</v>
      </c>
    </row>
    <row r="28" spans="1:5" ht="20.25" customHeight="1">
      <c r="A28" s="10" t="s">
        <v>315</v>
      </c>
      <c r="B28" s="11">
        <v>16</v>
      </c>
      <c r="C28" s="11"/>
      <c r="D28" s="11"/>
      <c r="E28" s="16" t="e">
        <f t="shared" si="0"/>
        <v>#DIV/0!</v>
      </c>
    </row>
    <row r="29" spans="1:5" ht="20.25" customHeight="1">
      <c r="A29" s="12" t="s">
        <v>320</v>
      </c>
      <c r="B29" s="13">
        <f>SUM(B30:B32)</f>
        <v>71</v>
      </c>
      <c r="C29" s="13">
        <f>SUM(C30:C32)</f>
        <v>183.36</v>
      </c>
      <c r="D29" s="13">
        <f>SUM(D30:D32)</f>
        <v>161.2</v>
      </c>
      <c r="E29" s="18">
        <f t="shared" si="0"/>
        <v>0.8791448516579405</v>
      </c>
    </row>
    <row r="30" spans="1:5" ht="20.25" customHeight="1">
      <c r="A30" s="10" t="s">
        <v>357</v>
      </c>
      <c r="B30" s="11">
        <v>58</v>
      </c>
      <c r="C30" s="11">
        <v>32.5</v>
      </c>
      <c r="D30" s="11">
        <v>30</v>
      </c>
      <c r="E30" s="16">
        <f t="shared" si="0"/>
        <v>0.9230769230769231</v>
      </c>
    </row>
    <row r="31" spans="1:5" ht="20.25" customHeight="1">
      <c r="A31" s="53" t="s">
        <v>427</v>
      </c>
      <c r="B31" s="11">
        <v>13</v>
      </c>
      <c r="C31" s="11">
        <v>150.86</v>
      </c>
      <c r="D31" s="11">
        <v>131.2</v>
      </c>
      <c r="E31" s="16">
        <f t="shared" si="0"/>
        <v>0.8696804984754075</v>
      </c>
    </row>
    <row r="32" spans="1:5" ht="20.25" customHeight="1">
      <c r="A32" s="10" t="s">
        <v>315</v>
      </c>
      <c r="B32" s="11"/>
      <c r="C32" s="11"/>
      <c r="D32" s="11"/>
      <c r="E32" s="16"/>
    </row>
    <row r="33" spans="1:5" ht="20.25" customHeight="1">
      <c r="A33" s="12" t="s">
        <v>321</v>
      </c>
      <c r="B33" s="13">
        <f>SUM(B34:B35)</f>
        <v>6607</v>
      </c>
      <c r="C33" s="13">
        <f>SUM(C34:C35)</f>
        <v>8152</v>
      </c>
      <c r="D33" s="13">
        <f>SUM(D34:D35)</f>
        <v>8852.31</v>
      </c>
      <c r="E33" s="18">
        <f t="shared" si="0"/>
        <v>1.085906526005888</v>
      </c>
    </row>
    <row r="34" spans="1:5" ht="20.25" customHeight="1">
      <c r="A34" s="10" t="s">
        <v>327</v>
      </c>
      <c r="B34" s="11">
        <v>6378</v>
      </c>
      <c r="C34" s="11">
        <v>8152</v>
      </c>
      <c r="D34" s="11">
        <v>8852.31</v>
      </c>
      <c r="E34" s="16">
        <f t="shared" si="0"/>
        <v>1.085906526005888</v>
      </c>
    </row>
    <row r="35" spans="1:5" ht="20.25" customHeight="1">
      <c r="A35" s="10" t="s">
        <v>315</v>
      </c>
      <c r="B35" s="11">
        <v>229</v>
      </c>
      <c r="C35" s="11"/>
      <c r="D35" s="11"/>
      <c r="E35" s="16" t="e">
        <f t="shared" si="0"/>
        <v>#DIV/0!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2">
      <selection activeCell="E21" sqref="A1:E21"/>
    </sheetView>
  </sheetViews>
  <sheetFormatPr defaultColWidth="9.140625" defaultRowHeight="15"/>
  <cols>
    <col min="1" max="1" width="41.28125" style="0" customWidth="1"/>
    <col min="2" max="2" width="7.00390625" style="0" hidden="1" customWidth="1"/>
    <col min="3" max="5" width="15.57421875" style="0" customWidth="1"/>
  </cols>
  <sheetData>
    <row r="1" spans="1:5" ht="39.75" customHeight="1">
      <c r="A1" s="73" t="s">
        <v>508</v>
      </c>
      <c r="B1" s="78"/>
      <c r="C1" s="78"/>
      <c r="D1" s="78"/>
      <c r="E1" s="78"/>
    </row>
    <row r="2" ht="27" customHeight="1">
      <c r="E2" s="25" t="s">
        <v>311</v>
      </c>
    </row>
    <row r="3" spans="1:5" s="8" customFormat="1" ht="27">
      <c r="A3" s="9" t="s">
        <v>310</v>
      </c>
      <c r="B3" s="9" t="s">
        <v>312</v>
      </c>
      <c r="C3" s="9" t="s">
        <v>436</v>
      </c>
      <c r="D3" s="9" t="s">
        <v>501</v>
      </c>
      <c r="E3" s="9" t="s">
        <v>500</v>
      </c>
    </row>
    <row r="4" spans="1:5" s="8" customFormat="1" ht="23.25" customHeight="1">
      <c r="A4" s="14" t="s">
        <v>337</v>
      </c>
      <c r="B4" s="15">
        <f>SUM(B5:B12)</f>
        <v>3103</v>
      </c>
      <c r="C4" s="15">
        <f>SUM(C5:C12)</f>
        <v>4345.51</v>
      </c>
      <c r="D4" s="15">
        <f>SUM(D5:D12)</f>
        <v>2856.5800000000017</v>
      </c>
      <c r="E4" s="17">
        <f>D4/C4</f>
        <v>0.6573635775777761</v>
      </c>
    </row>
    <row r="5" spans="1:5" ht="23.25" customHeight="1">
      <c r="A5" s="10" t="s">
        <v>329</v>
      </c>
      <c r="B5" s="10">
        <v>910</v>
      </c>
      <c r="C5" s="11">
        <v>267.62</v>
      </c>
      <c r="D5" s="11">
        <f>'2016社保收入情况'!D9-'2016社保支出情况'!D7</f>
        <v>-421.8199999999997</v>
      </c>
      <c r="E5" s="16">
        <f>D5/C5</f>
        <v>-1.5761901203198554</v>
      </c>
    </row>
    <row r="6" spans="1:5" ht="23.25" customHeight="1">
      <c r="A6" s="10" t="s">
        <v>330</v>
      </c>
      <c r="B6" s="10">
        <v>120</v>
      </c>
      <c r="C6" s="11">
        <v>174.25</v>
      </c>
      <c r="D6" s="11">
        <f>'2016社保收入情况'!D14-'2016社保支出情况'!D10</f>
        <v>1.4899999999998954</v>
      </c>
      <c r="E6" s="16">
        <f aca="true" t="shared" si="0" ref="E6:E21">D6/C6</f>
        <v>0.00855093256814861</v>
      </c>
    </row>
    <row r="7" spans="1:5" ht="23.25" customHeight="1">
      <c r="A7" s="10" t="s">
        <v>331</v>
      </c>
      <c r="B7" s="10">
        <v>580</v>
      </c>
      <c r="C7" s="11">
        <v>1191.59</v>
      </c>
      <c r="D7" s="11">
        <f>'2016社保收入情况'!D19-'2016社保支出情况'!D14</f>
        <v>158.1800000000003</v>
      </c>
      <c r="E7" s="16">
        <f t="shared" si="0"/>
        <v>0.13274700190501793</v>
      </c>
    </row>
    <row r="8" spans="1:5" ht="23.25" customHeight="1">
      <c r="A8" s="10" t="s">
        <v>332</v>
      </c>
      <c r="B8" s="10">
        <v>41</v>
      </c>
      <c r="C8" s="11">
        <v>56.3</v>
      </c>
      <c r="D8" s="11">
        <f>'2016社保收入情况'!D24-'2016社保支出情况'!D18</f>
        <v>29.129999999999995</v>
      </c>
      <c r="E8" s="16">
        <f t="shared" si="0"/>
        <v>0.5174067495559502</v>
      </c>
    </row>
    <row r="9" spans="1:5" ht="23.25" customHeight="1">
      <c r="A9" s="10" t="s">
        <v>333</v>
      </c>
      <c r="B9" s="10">
        <v>62</v>
      </c>
      <c r="C9" s="11">
        <v>62.11</v>
      </c>
      <c r="D9" s="11">
        <f>'2016社保收入情况'!D29-'2016社保支出情况'!D22</f>
        <v>2.990000000000009</v>
      </c>
      <c r="E9" s="16">
        <f t="shared" si="0"/>
        <v>0.04814039607148622</v>
      </c>
    </row>
    <row r="10" spans="1:5" ht="23.25" customHeight="1">
      <c r="A10" s="10" t="s">
        <v>334</v>
      </c>
      <c r="B10" s="10">
        <v>960</v>
      </c>
      <c r="C10" s="11">
        <v>1186.07</v>
      </c>
      <c r="D10" s="11">
        <f>'2016社保收入情况'!D34-'2016社保支出情况'!D26</f>
        <v>1150.0900000000001</v>
      </c>
      <c r="E10" s="16">
        <f t="shared" si="0"/>
        <v>0.9696645223300482</v>
      </c>
    </row>
    <row r="11" spans="1:5" ht="23.25" customHeight="1">
      <c r="A11" s="10" t="s">
        <v>335</v>
      </c>
      <c r="B11" s="10">
        <v>120</v>
      </c>
      <c r="C11" s="11">
        <v>43.57</v>
      </c>
      <c r="D11" s="11">
        <f>'2016社保收入情况'!D39-'2016社保支出情况'!D29</f>
        <v>3.4799999999999898</v>
      </c>
      <c r="E11" s="16">
        <f t="shared" si="0"/>
        <v>0.07987147119577667</v>
      </c>
    </row>
    <row r="12" spans="1:5" ht="23.25" customHeight="1">
      <c r="A12" s="10" t="s">
        <v>336</v>
      </c>
      <c r="B12" s="10">
        <v>310</v>
      </c>
      <c r="C12" s="11">
        <v>1364</v>
      </c>
      <c r="D12" s="11">
        <f>'2016社保收入情况'!D44-'2016社保支出情况'!D33</f>
        <v>1933.0400000000009</v>
      </c>
      <c r="E12" s="16">
        <f t="shared" si="0"/>
        <v>1.4171847507331385</v>
      </c>
    </row>
    <row r="13" spans="1:5" ht="23.25" customHeight="1">
      <c r="A13" s="12" t="s">
        <v>369</v>
      </c>
      <c r="B13" s="13">
        <f>SUM(B14:B21)</f>
        <v>12178</v>
      </c>
      <c r="C13" s="13">
        <f>SUM(C14:C21)</f>
        <v>15423.06</v>
      </c>
      <c r="D13" s="13">
        <f>SUM(D14:D21)</f>
        <v>15818.400000000001</v>
      </c>
      <c r="E13" s="18">
        <f t="shared" si="0"/>
        <v>1.0256330455823943</v>
      </c>
    </row>
    <row r="14" spans="1:5" ht="23.25" customHeight="1">
      <c r="A14" s="10" t="s">
        <v>338</v>
      </c>
      <c r="B14" s="10">
        <v>2167</v>
      </c>
      <c r="C14" s="11">
        <v>1874.27</v>
      </c>
      <c r="D14" s="11">
        <f>1833.33-421.82</f>
        <v>1411.51</v>
      </c>
      <c r="E14" s="16">
        <f t="shared" si="0"/>
        <v>0.7530985396981225</v>
      </c>
    </row>
    <row r="15" spans="1:5" ht="23.25" customHeight="1">
      <c r="A15" s="10" t="s">
        <v>339</v>
      </c>
      <c r="B15" s="10">
        <v>128</v>
      </c>
      <c r="C15" s="11">
        <v>263.62</v>
      </c>
      <c r="D15" s="11">
        <f>284.91+1.49</f>
        <v>286.40000000000003</v>
      </c>
      <c r="E15" s="16">
        <f t="shared" si="0"/>
        <v>1.0864122600713149</v>
      </c>
    </row>
    <row r="16" spans="1:5" ht="23.25" customHeight="1">
      <c r="A16" s="10" t="s">
        <v>340</v>
      </c>
      <c r="B16" s="10">
        <v>1568</v>
      </c>
      <c r="C16" s="11">
        <v>2861.28</v>
      </c>
      <c r="D16" s="11">
        <f>419.51+158.18</f>
        <v>577.69</v>
      </c>
      <c r="E16" s="16">
        <f t="shared" si="0"/>
        <v>0.20189915003075548</v>
      </c>
    </row>
    <row r="17" spans="1:5" ht="23.25" customHeight="1">
      <c r="A17" s="10" t="s">
        <v>341</v>
      </c>
      <c r="B17" s="10">
        <v>78</v>
      </c>
      <c r="C17" s="11">
        <v>96.26</v>
      </c>
      <c r="D17" s="11">
        <f>138.98+29.13</f>
        <v>168.10999999999999</v>
      </c>
      <c r="E17" s="16">
        <f t="shared" si="0"/>
        <v>1.7464159567837105</v>
      </c>
    </row>
    <row r="18" spans="1:5" ht="23.25" customHeight="1">
      <c r="A18" s="10" t="s">
        <v>342</v>
      </c>
      <c r="B18" s="10">
        <v>112</v>
      </c>
      <c r="C18" s="11">
        <v>109.67</v>
      </c>
      <c r="D18" s="11">
        <f>156.36+2.99</f>
        <v>159.35000000000002</v>
      </c>
      <c r="E18" s="16">
        <f t="shared" si="0"/>
        <v>1.45299534968542</v>
      </c>
    </row>
    <row r="19" spans="1:5" ht="23.25" customHeight="1">
      <c r="A19" s="10" t="s">
        <v>343</v>
      </c>
      <c r="B19" s="10">
        <v>5812</v>
      </c>
      <c r="C19" s="11">
        <v>6526.13</v>
      </c>
      <c r="D19" s="11">
        <f>6542.91+1150.09</f>
        <v>7693</v>
      </c>
      <c r="E19" s="16">
        <f t="shared" si="0"/>
        <v>1.1787996867975354</v>
      </c>
    </row>
    <row r="20" spans="1:5" ht="23.25" customHeight="1">
      <c r="A20" s="10" t="s">
        <v>344</v>
      </c>
      <c r="B20" s="10">
        <v>246</v>
      </c>
      <c r="C20" s="11">
        <v>64.18</v>
      </c>
      <c r="D20" s="11">
        <f>100.86+3.48</f>
        <v>104.34</v>
      </c>
      <c r="E20" s="16">
        <f t="shared" si="0"/>
        <v>1.6257401059520098</v>
      </c>
    </row>
    <row r="21" spans="1:5" ht="23.25" customHeight="1">
      <c r="A21" s="10" t="s">
        <v>345</v>
      </c>
      <c r="B21" s="10">
        <v>2067</v>
      </c>
      <c r="C21" s="11">
        <v>3627.65</v>
      </c>
      <c r="D21" s="11">
        <f>3484.96+1933.04</f>
        <v>5418</v>
      </c>
      <c r="E21" s="16">
        <f t="shared" si="0"/>
        <v>1.493528868551266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2">
      <selection activeCell="E48" sqref="A1:E48"/>
    </sheetView>
  </sheetViews>
  <sheetFormatPr defaultColWidth="9.140625" defaultRowHeight="15"/>
  <cols>
    <col min="1" max="1" width="41.28125" style="0" customWidth="1"/>
    <col min="2" max="2" width="15.57421875" style="0" hidden="1" customWidth="1"/>
    <col min="3" max="5" width="15.57421875" style="0" customWidth="1"/>
  </cols>
  <sheetData>
    <row r="1" spans="1:5" ht="39.75" customHeight="1">
      <c r="A1" s="73" t="s">
        <v>502</v>
      </c>
      <c r="B1" s="78"/>
      <c r="C1" s="78"/>
      <c r="D1" s="78"/>
      <c r="E1" s="78"/>
    </row>
    <row r="2" ht="27" customHeight="1">
      <c r="E2" s="25" t="s">
        <v>311</v>
      </c>
    </row>
    <row r="3" spans="1:5" s="8" customFormat="1" ht="27">
      <c r="A3" s="9" t="s">
        <v>310</v>
      </c>
      <c r="B3" s="9" t="s">
        <v>479</v>
      </c>
      <c r="C3" s="9" t="s">
        <v>501</v>
      </c>
      <c r="D3" s="9" t="s">
        <v>488</v>
      </c>
      <c r="E3" s="9" t="s">
        <v>347</v>
      </c>
    </row>
    <row r="4" spans="1:5" ht="13.5">
      <c r="A4" s="12" t="s">
        <v>370</v>
      </c>
      <c r="B4" s="13">
        <f aca="true" t="shared" si="0" ref="B4:D5">B9+B14+B19+B24+B29+B34+B39+B44</f>
        <v>22059.788467</v>
      </c>
      <c r="C4" s="13">
        <f t="shared" si="0"/>
        <v>29753.449999999997</v>
      </c>
      <c r="D4" s="13">
        <f t="shared" si="0"/>
        <v>31324.8</v>
      </c>
      <c r="E4" s="18">
        <f>D4/C4</f>
        <v>1.052812362936063</v>
      </c>
    </row>
    <row r="5" spans="1:5" ht="13.5">
      <c r="A5" s="10" t="s">
        <v>349</v>
      </c>
      <c r="B5" s="11">
        <f t="shared" si="0"/>
        <v>13655.377933</v>
      </c>
      <c r="C5" s="11">
        <f aca="true" t="shared" si="1" ref="C5:D8">C10+C15+C20+C25+C30+C35+C40+C45</f>
        <v>19162.119999999995</v>
      </c>
      <c r="D5" s="11">
        <f t="shared" si="1"/>
        <v>20482</v>
      </c>
      <c r="E5" s="16">
        <f aca="true" t="shared" si="2" ref="E5:E47">D5/C5</f>
        <v>1.0688796437972419</v>
      </c>
    </row>
    <row r="6" spans="1:5" ht="13.5">
      <c r="A6" s="10" t="s">
        <v>350</v>
      </c>
      <c r="B6" s="11">
        <f>B11+B16+B21+B26+B31+B36+B41+B46</f>
        <v>295.350632</v>
      </c>
      <c r="C6" s="11">
        <f t="shared" si="1"/>
        <v>472.93</v>
      </c>
      <c r="D6" s="11">
        <f t="shared" si="1"/>
        <v>492.8</v>
      </c>
      <c r="E6" s="16">
        <f t="shared" si="2"/>
        <v>1.042014674476138</v>
      </c>
    </row>
    <row r="7" spans="1:5" ht="13.5">
      <c r="A7" s="10" t="s">
        <v>351</v>
      </c>
      <c r="B7" s="11">
        <f>B12+B17+B22+B27+B32+B37+B42+B47</f>
        <v>7558.23</v>
      </c>
      <c r="C7" s="11">
        <f t="shared" si="1"/>
        <v>10118.4</v>
      </c>
      <c r="D7" s="11">
        <f t="shared" si="1"/>
        <v>10350</v>
      </c>
      <c r="E7" s="16">
        <f t="shared" si="2"/>
        <v>1.0228889943074004</v>
      </c>
    </row>
    <row r="8" spans="1:5" ht="13.5">
      <c r="A8" s="10" t="s">
        <v>352</v>
      </c>
      <c r="B8" s="11">
        <f>B13+B18+B23+B28+B33+B38+B43+B48</f>
        <v>550.8299020000001</v>
      </c>
      <c r="C8" s="11">
        <f t="shared" si="1"/>
        <v>0</v>
      </c>
      <c r="D8" s="11">
        <f t="shared" si="1"/>
        <v>0</v>
      </c>
      <c r="E8" s="16"/>
    </row>
    <row r="9" spans="1:5" ht="13.5">
      <c r="A9" s="12" t="s">
        <v>359</v>
      </c>
      <c r="B9" s="13">
        <f>SUM(B10:B13)</f>
        <v>5406.34</v>
      </c>
      <c r="C9" s="13">
        <f>SUM(C10:C13)</f>
        <v>5451.92</v>
      </c>
      <c r="D9" s="13">
        <f>SUM(D10:D13)</f>
        <v>5900</v>
      </c>
      <c r="E9" s="18">
        <f t="shared" si="2"/>
        <v>1.0821875596120265</v>
      </c>
    </row>
    <row r="10" spans="1:5" ht="13.5">
      <c r="A10" s="10" t="s">
        <v>349</v>
      </c>
      <c r="B10" s="11">
        <v>4745.26</v>
      </c>
      <c r="C10" s="11">
        <v>5258.61</v>
      </c>
      <c r="D10" s="11">
        <v>5700</v>
      </c>
      <c r="E10" s="16">
        <f t="shared" si="2"/>
        <v>1.0839366296416735</v>
      </c>
    </row>
    <row r="11" spans="1:5" ht="13.5">
      <c r="A11" s="10" t="s">
        <v>350</v>
      </c>
      <c r="B11" s="11">
        <v>111.84</v>
      </c>
      <c r="C11" s="71">
        <v>193.31</v>
      </c>
      <c r="D11" s="11">
        <v>200</v>
      </c>
      <c r="E11" s="16">
        <f t="shared" si="2"/>
        <v>1.0346076250581966</v>
      </c>
    </row>
    <row r="12" spans="1:5" ht="13.5">
      <c r="A12" s="10" t="s">
        <v>351</v>
      </c>
      <c r="B12" s="11">
        <v>0</v>
      </c>
      <c r="C12" s="11"/>
      <c r="D12" s="11"/>
      <c r="E12" s="16"/>
    </row>
    <row r="13" spans="1:5" ht="13.5">
      <c r="A13" s="10" t="s">
        <v>352</v>
      </c>
      <c r="B13" s="11">
        <v>549.24</v>
      </c>
      <c r="C13" s="11"/>
      <c r="D13" s="11"/>
      <c r="E13" s="16"/>
    </row>
    <row r="14" spans="1:5" ht="13.5">
      <c r="A14" s="12" t="s">
        <v>353</v>
      </c>
      <c r="B14" s="13">
        <f>SUM(B15:B18)</f>
        <v>1068.25</v>
      </c>
      <c r="C14" s="13">
        <f>SUM(C15:C18)</f>
        <v>915.4399999999999</v>
      </c>
      <c r="D14" s="13">
        <f>SUM(D15:D18)</f>
        <v>955</v>
      </c>
      <c r="E14" s="18">
        <f t="shared" si="2"/>
        <v>1.043214192082496</v>
      </c>
    </row>
    <row r="15" spans="1:5" ht="13.5">
      <c r="A15" s="10" t="s">
        <v>349</v>
      </c>
      <c r="B15" s="11">
        <v>1056.41</v>
      </c>
      <c r="C15" s="11">
        <v>910.77</v>
      </c>
      <c r="D15" s="11">
        <v>950</v>
      </c>
      <c r="E15" s="16">
        <f t="shared" si="2"/>
        <v>1.0430734433501323</v>
      </c>
    </row>
    <row r="16" spans="1:5" ht="13.5">
      <c r="A16" s="10" t="s">
        <v>350</v>
      </c>
      <c r="B16" s="11">
        <v>11.62</v>
      </c>
      <c r="C16" s="11">
        <v>4.67</v>
      </c>
      <c r="D16" s="11">
        <v>5</v>
      </c>
      <c r="E16" s="16">
        <f t="shared" si="2"/>
        <v>1.0706638115631693</v>
      </c>
    </row>
    <row r="17" spans="1:5" ht="13.5">
      <c r="A17" s="10" t="s">
        <v>351</v>
      </c>
      <c r="B17" s="11">
        <v>0</v>
      </c>
      <c r="C17" s="11"/>
      <c r="D17" s="11"/>
      <c r="E17" s="16"/>
    </row>
    <row r="18" spans="1:5" ht="13.5">
      <c r="A18" s="10" t="s">
        <v>352</v>
      </c>
      <c r="B18" s="11">
        <v>0.22</v>
      </c>
      <c r="C18" s="11"/>
      <c r="D18" s="11"/>
      <c r="E18" s="16"/>
    </row>
    <row r="19" spans="1:5" ht="13.5">
      <c r="A19" s="12" t="s">
        <v>360</v>
      </c>
      <c r="B19" s="13">
        <f>SUM(B20:B23)</f>
        <v>5896.15</v>
      </c>
      <c r="C19" s="13">
        <f>SUM(C20:C23)</f>
        <v>8867.42</v>
      </c>
      <c r="D19" s="13">
        <f>SUM(D20:D23)</f>
        <v>9531</v>
      </c>
      <c r="E19" s="18">
        <f t="shared" si="2"/>
        <v>1.0748334915905642</v>
      </c>
    </row>
    <row r="20" spans="1:5" ht="13.5">
      <c r="A20" s="10" t="s">
        <v>349</v>
      </c>
      <c r="B20" s="11">
        <v>5866.38</v>
      </c>
      <c r="C20" s="11">
        <v>8729.54</v>
      </c>
      <c r="D20" s="11">
        <v>9386</v>
      </c>
      <c r="E20" s="16">
        <f t="shared" si="2"/>
        <v>1.0751998387085688</v>
      </c>
    </row>
    <row r="21" spans="1:5" ht="13.5">
      <c r="A21" s="10" t="s">
        <v>350</v>
      </c>
      <c r="B21" s="11">
        <v>28.53</v>
      </c>
      <c r="C21" s="11">
        <v>137.88</v>
      </c>
      <c r="D21" s="11">
        <v>145</v>
      </c>
      <c r="E21" s="16">
        <f t="shared" si="2"/>
        <v>1.0516391064693937</v>
      </c>
    </row>
    <row r="22" spans="1:5" ht="13.5">
      <c r="A22" s="10" t="s">
        <v>351</v>
      </c>
      <c r="B22" s="11"/>
      <c r="C22" s="11"/>
      <c r="D22" s="11"/>
      <c r="E22" s="16"/>
    </row>
    <row r="23" spans="1:5" ht="13.5">
      <c r="A23" s="10" t="s">
        <v>352</v>
      </c>
      <c r="B23" s="11">
        <v>1.24</v>
      </c>
      <c r="C23" s="11"/>
      <c r="D23" s="11"/>
      <c r="E23" s="16"/>
    </row>
    <row r="24" spans="1:5" ht="13.5">
      <c r="A24" s="12" t="s">
        <v>354</v>
      </c>
      <c r="B24" s="13">
        <f>SUM(B25:B28)</f>
        <v>456.238467</v>
      </c>
      <c r="C24" s="13">
        <f>SUM(C25:C28)</f>
        <v>532.16</v>
      </c>
      <c r="D24" s="13">
        <f>SUM(D25:D28)</f>
        <v>555.5</v>
      </c>
      <c r="E24" s="18">
        <f t="shared" si="2"/>
        <v>1.0438589897775106</v>
      </c>
    </row>
    <row r="25" spans="1:5" ht="13.5">
      <c r="A25" s="10" t="s">
        <v>349</v>
      </c>
      <c r="B25" s="11">
        <v>447.187933</v>
      </c>
      <c r="C25" s="11">
        <v>527.16</v>
      </c>
      <c r="D25" s="11">
        <v>550</v>
      </c>
      <c r="E25" s="16">
        <f t="shared" si="2"/>
        <v>1.0433265042871236</v>
      </c>
    </row>
    <row r="26" spans="1:5" ht="13.5">
      <c r="A26" s="10" t="s">
        <v>350</v>
      </c>
      <c r="B26" s="11">
        <v>8.990632000000002</v>
      </c>
      <c r="C26" s="11">
        <v>5</v>
      </c>
      <c r="D26" s="11">
        <v>5.5</v>
      </c>
      <c r="E26" s="16">
        <f t="shared" si="2"/>
        <v>1.1</v>
      </c>
    </row>
    <row r="27" spans="1:5" ht="13.5">
      <c r="A27" s="10" t="s">
        <v>351</v>
      </c>
      <c r="B27" s="11"/>
      <c r="C27" s="11"/>
      <c r="D27" s="11"/>
      <c r="E27" s="16"/>
    </row>
    <row r="28" spans="1:5" ht="13.5">
      <c r="A28" s="10" t="s">
        <v>352</v>
      </c>
      <c r="B28" s="11">
        <v>0.059902</v>
      </c>
      <c r="C28" s="11"/>
      <c r="D28" s="11"/>
      <c r="E28" s="16"/>
    </row>
    <row r="29" spans="1:5" ht="13.5">
      <c r="A29" s="12" t="s">
        <v>361</v>
      </c>
      <c r="B29" s="13">
        <f>SUM(B30:B33)</f>
        <v>234.62</v>
      </c>
      <c r="C29" s="13">
        <f>SUM(C30:C33)</f>
        <v>286.39</v>
      </c>
      <c r="D29" s="13">
        <f>SUM(D30:D33)</f>
        <v>297.6</v>
      </c>
      <c r="E29" s="18">
        <f t="shared" si="2"/>
        <v>1.0391424281574078</v>
      </c>
    </row>
    <row r="30" spans="1:5" ht="13.5">
      <c r="A30" s="10" t="s">
        <v>349</v>
      </c>
      <c r="B30" s="11">
        <v>226.18</v>
      </c>
      <c r="C30" s="11">
        <v>284.96</v>
      </c>
      <c r="D30" s="11">
        <v>296</v>
      </c>
      <c r="E30" s="16">
        <f t="shared" si="2"/>
        <v>1.0387422796181922</v>
      </c>
    </row>
    <row r="31" spans="1:5" ht="13.5">
      <c r="A31" s="10" t="s">
        <v>350</v>
      </c>
      <c r="B31" s="11">
        <v>8.37</v>
      </c>
      <c r="C31" s="11">
        <v>1.43</v>
      </c>
      <c r="D31" s="11">
        <v>1.6</v>
      </c>
      <c r="E31" s="16">
        <f t="shared" si="2"/>
        <v>1.118881118881119</v>
      </c>
    </row>
    <row r="32" spans="1:5" ht="13.5">
      <c r="A32" s="10" t="s">
        <v>351</v>
      </c>
      <c r="B32" s="11"/>
      <c r="C32" s="11"/>
      <c r="D32" s="11"/>
      <c r="E32" s="16"/>
    </row>
    <row r="33" spans="1:5" ht="13.5">
      <c r="A33" s="10" t="s">
        <v>352</v>
      </c>
      <c r="B33" s="11">
        <v>0.07</v>
      </c>
      <c r="C33" s="11"/>
      <c r="D33" s="11"/>
      <c r="E33" s="16"/>
    </row>
    <row r="34" spans="1:5" ht="13.5">
      <c r="A34" s="12" t="s">
        <v>355</v>
      </c>
      <c r="B34" s="13">
        <f>SUM(B35:B38)</f>
        <v>1867.7800000000002</v>
      </c>
      <c r="C34" s="13">
        <f>SUM(C35:C38)</f>
        <v>2750.09</v>
      </c>
      <c r="D34" s="13">
        <f>SUM(D35:D38)</f>
        <v>2790.4</v>
      </c>
      <c r="E34" s="18">
        <f t="shared" si="2"/>
        <v>1.0146577021115673</v>
      </c>
    </row>
    <row r="35" spans="1:5" ht="13.5">
      <c r="A35" s="10" t="s">
        <v>349</v>
      </c>
      <c r="B35" s="11">
        <v>737.72</v>
      </c>
      <c r="C35" s="11">
        <v>601.97</v>
      </c>
      <c r="D35" s="11">
        <v>638</v>
      </c>
      <c r="E35" s="16">
        <f t="shared" si="2"/>
        <v>1.0598534810704852</v>
      </c>
    </row>
    <row r="36" spans="1:5" ht="13.5">
      <c r="A36" s="10" t="s">
        <v>350</v>
      </c>
      <c r="B36" s="11">
        <v>83.86</v>
      </c>
      <c r="C36" s="11">
        <v>2.12</v>
      </c>
      <c r="D36" s="11">
        <v>2.4</v>
      </c>
      <c r="E36" s="16">
        <f t="shared" si="2"/>
        <v>1.1320754716981132</v>
      </c>
    </row>
    <row r="37" spans="1:5" ht="13.5">
      <c r="A37" s="10" t="s">
        <v>351</v>
      </c>
      <c r="B37" s="11">
        <v>1046.2</v>
      </c>
      <c r="C37" s="11">
        <v>2146</v>
      </c>
      <c r="D37" s="11">
        <v>2150</v>
      </c>
      <c r="E37" s="16">
        <f t="shared" si="2"/>
        <v>1.0018639328984156</v>
      </c>
    </row>
    <row r="38" spans="1:5" ht="13.5">
      <c r="A38" s="10" t="s">
        <v>352</v>
      </c>
      <c r="B38" s="11"/>
      <c r="C38" s="11"/>
      <c r="D38" s="11"/>
      <c r="E38" s="16"/>
    </row>
    <row r="39" spans="1:5" ht="13.5">
      <c r="A39" s="12" t="s">
        <v>362</v>
      </c>
      <c r="B39" s="13">
        <f>SUM(B40:B43)</f>
        <v>94.83</v>
      </c>
      <c r="C39" s="13">
        <f>SUM(C40:C43)</f>
        <v>164.67999999999998</v>
      </c>
      <c r="D39" s="13">
        <f>SUM(D40:D43)</f>
        <v>176.3</v>
      </c>
      <c r="E39" s="18">
        <f t="shared" si="2"/>
        <v>1.0705610881709986</v>
      </c>
    </row>
    <row r="40" spans="1:5" ht="13.5">
      <c r="A40" s="10" t="s">
        <v>349</v>
      </c>
      <c r="B40" s="11">
        <v>56.62</v>
      </c>
      <c r="C40" s="11">
        <v>163.67</v>
      </c>
      <c r="D40" s="11">
        <v>175</v>
      </c>
      <c r="E40" s="16">
        <f t="shared" si="2"/>
        <v>1.069224659375573</v>
      </c>
    </row>
    <row r="41" spans="1:5" ht="13.5">
      <c r="A41" s="10" t="s">
        <v>350</v>
      </c>
      <c r="B41" s="11">
        <v>5.39</v>
      </c>
      <c r="C41" s="11">
        <v>1.01</v>
      </c>
      <c r="D41" s="11">
        <v>1.3</v>
      </c>
      <c r="E41" s="16">
        <f t="shared" si="2"/>
        <v>1.2871287128712872</v>
      </c>
    </row>
    <row r="42" spans="1:5" ht="13.5">
      <c r="A42" s="10" t="s">
        <v>351</v>
      </c>
      <c r="B42" s="11">
        <v>32.82</v>
      </c>
      <c r="C42" s="11"/>
      <c r="D42" s="11"/>
      <c r="E42" s="16" t="e">
        <f t="shared" si="2"/>
        <v>#DIV/0!</v>
      </c>
    </row>
    <row r="43" spans="1:5" ht="13.5">
      <c r="A43" s="10" t="s">
        <v>352</v>
      </c>
      <c r="B43" s="11"/>
      <c r="C43" s="11"/>
      <c r="D43" s="11"/>
      <c r="E43" s="16"/>
    </row>
    <row r="44" spans="1:5" ht="13.5">
      <c r="A44" s="12" t="s">
        <v>356</v>
      </c>
      <c r="B44" s="13">
        <f>SUM(B45:B48)</f>
        <v>7035.58</v>
      </c>
      <c r="C44" s="13">
        <f>SUM(C45:C48)</f>
        <v>10785.35</v>
      </c>
      <c r="D44" s="13">
        <f>SUM(D45:D48)</f>
        <v>11119</v>
      </c>
      <c r="E44" s="18">
        <f t="shared" si="2"/>
        <v>1.030935481926873</v>
      </c>
    </row>
    <row r="45" spans="1:5" ht="13.5">
      <c r="A45" s="10" t="s">
        <v>349</v>
      </c>
      <c r="B45" s="11">
        <v>519.62</v>
      </c>
      <c r="C45" s="11">
        <v>2685.44</v>
      </c>
      <c r="D45" s="11">
        <v>2787</v>
      </c>
      <c r="E45" s="16">
        <f t="shared" si="2"/>
        <v>1.0378187559580552</v>
      </c>
    </row>
    <row r="46" spans="1:5" ht="13.5">
      <c r="A46" s="10" t="s">
        <v>350</v>
      </c>
      <c r="B46" s="11">
        <v>36.75</v>
      </c>
      <c r="C46" s="11">
        <v>127.51</v>
      </c>
      <c r="D46" s="11">
        <v>132</v>
      </c>
      <c r="E46" s="16">
        <f t="shared" si="2"/>
        <v>1.0352129244765116</v>
      </c>
    </row>
    <row r="47" spans="1:5" ht="13.5">
      <c r="A47" s="10" t="s">
        <v>351</v>
      </c>
      <c r="B47" s="11">
        <v>6479.21</v>
      </c>
      <c r="C47" s="11">
        <v>7972.4</v>
      </c>
      <c r="D47" s="11">
        <v>8200</v>
      </c>
      <c r="E47" s="16">
        <f t="shared" si="2"/>
        <v>1.0285484922984296</v>
      </c>
    </row>
    <row r="48" spans="1:5" ht="13.5">
      <c r="A48" s="10" t="s">
        <v>352</v>
      </c>
      <c r="B48" s="10"/>
      <c r="C48" s="10"/>
      <c r="D48" s="10"/>
      <c r="E48" s="10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25">
      <selection activeCell="E35" sqref="A1:E35"/>
    </sheetView>
  </sheetViews>
  <sheetFormatPr defaultColWidth="9.140625" defaultRowHeight="15"/>
  <cols>
    <col min="1" max="1" width="41.28125" style="0" customWidth="1"/>
    <col min="2" max="2" width="15.57421875" style="0" hidden="1" customWidth="1"/>
    <col min="3" max="5" width="15.57421875" style="0" customWidth="1"/>
  </cols>
  <sheetData>
    <row r="1" spans="1:5" ht="39.75" customHeight="1">
      <c r="A1" s="73" t="s">
        <v>503</v>
      </c>
      <c r="B1" s="78"/>
      <c r="C1" s="78"/>
      <c r="D1" s="78"/>
      <c r="E1" s="78"/>
    </row>
    <row r="2" ht="27" customHeight="1">
      <c r="E2" s="25" t="s">
        <v>311</v>
      </c>
    </row>
    <row r="3" spans="1:5" s="8" customFormat="1" ht="27">
      <c r="A3" s="9" t="s">
        <v>310</v>
      </c>
      <c r="B3" s="9" t="s">
        <v>313</v>
      </c>
      <c r="C3" s="9" t="s">
        <v>501</v>
      </c>
      <c r="D3" s="9" t="s">
        <v>488</v>
      </c>
      <c r="E3" s="9" t="s">
        <v>347</v>
      </c>
    </row>
    <row r="4" spans="1:5" ht="20.25" customHeight="1">
      <c r="A4" s="12" t="s">
        <v>328</v>
      </c>
      <c r="B4" s="13">
        <f>B7+B10+B14+B18+B22+B26+B29+B33</f>
        <v>20375.11</v>
      </c>
      <c r="C4" s="13">
        <f>C7+C10+C14+C18+C22+C26+C29+C33</f>
        <v>26896.870000000003</v>
      </c>
      <c r="D4" s="13">
        <f>D7+D10+D14+D18+D22+D26+D29+D33</f>
        <v>28193</v>
      </c>
      <c r="E4" s="19">
        <f>D4/C4</f>
        <v>1.0481888784828866</v>
      </c>
    </row>
    <row r="5" spans="1:5" ht="20.25" customHeight="1">
      <c r="A5" s="10" t="s">
        <v>316</v>
      </c>
      <c r="B5" s="11">
        <f>B8+B11+B15+B19+B23+B27+B30+B34</f>
        <v>15124.449999999999</v>
      </c>
      <c r="C5" s="11">
        <f>+C8+C12+C15+C16+C20+C24+C27+C30+C31+C34</f>
        <v>26896.870000000003</v>
      </c>
      <c r="D5" s="11">
        <f>+D8+D12+D15+D16+D20+D24+D27+D30+D31+D34</f>
        <v>28193</v>
      </c>
      <c r="E5" s="20">
        <f aca="true" t="shared" si="0" ref="E5:E34">D5/C5</f>
        <v>1.0481888784828866</v>
      </c>
    </row>
    <row r="6" spans="1:5" ht="20.25" customHeight="1">
      <c r="A6" s="10" t="s">
        <v>315</v>
      </c>
      <c r="B6" s="11">
        <f>B9+B13+B17+B21+B25+B28+B32+B35</f>
        <v>544.52</v>
      </c>
      <c r="C6" s="11"/>
      <c r="D6" s="11"/>
      <c r="E6" s="20"/>
    </row>
    <row r="7" spans="1:5" ht="20.25" customHeight="1">
      <c r="A7" s="12" t="s">
        <v>363</v>
      </c>
      <c r="B7" s="13">
        <f>SUM(B8:B9)</f>
        <v>4780.5199999999995</v>
      </c>
      <c r="C7" s="13">
        <f>SUM(C8:C9)</f>
        <v>5873.74</v>
      </c>
      <c r="D7" s="13">
        <f>SUM(D8:D9)</f>
        <v>6120</v>
      </c>
      <c r="E7" s="19">
        <f t="shared" si="0"/>
        <v>1.0419255874451372</v>
      </c>
    </row>
    <row r="8" spans="1:5" ht="20.25" customHeight="1">
      <c r="A8" s="10" t="s">
        <v>314</v>
      </c>
      <c r="B8" s="11">
        <v>4519.73</v>
      </c>
      <c r="C8" s="11">
        <v>5873.74</v>
      </c>
      <c r="D8" s="11">
        <v>6120</v>
      </c>
      <c r="E8" s="20">
        <f t="shared" si="0"/>
        <v>1.0419255874451372</v>
      </c>
    </row>
    <row r="9" spans="1:5" ht="20.25" customHeight="1">
      <c r="A9" s="10" t="s">
        <v>315</v>
      </c>
      <c r="B9" s="11">
        <v>260.79</v>
      </c>
      <c r="C9" s="11"/>
      <c r="D9" s="11"/>
      <c r="E9" s="20"/>
    </row>
    <row r="10" spans="1:5" ht="20.25" customHeight="1">
      <c r="A10" s="12" t="s">
        <v>317</v>
      </c>
      <c r="B10" s="55">
        <f>SUM(B11:B13)</f>
        <v>762.6600000000001</v>
      </c>
      <c r="C10" s="13">
        <f>SUM(C11:C13)</f>
        <v>913.95</v>
      </c>
      <c r="D10" s="13">
        <f>SUM(D11:D13)</f>
        <v>950</v>
      </c>
      <c r="E10" s="19">
        <f t="shared" si="0"/>
        <v>1.0394441709065048</v>
      </c>
    </row>
    <row r="11" spans="1:5" ht="20.25" customHeight="1">
      <c r="A11" s="10" t="s">
        <v>322</v>
      </c>
      <c r="B11" s="56">
        <v>4.62</v>
      </c>
      <c r="C11" s="11"/>
      <c r="D11" s="11"/>
      <c r="E11" s="20"/>
    </row>
    <row r="12" spans="1:5" ht="20.25" customHeight="1">
      <c r="A12" s="54" t="s">
        <v>424</v>
      </c>
      <c r="B12" s="56">
        <v>756.72</v>
      </c>
      <c r="C12" s="11">
        <v>913.95</v>
      </c>
      <c r="D12" s="11">
        <v>950</v>
      </c>
      <c r="E12" s="16">
        <f t="shared" si="0"/>
        <v>1.0394441709065048</v>
      </c>
    </row>
    <row r="13" spans="1:5" ht="20.25" customHeight="1">
      <c r="A13" s="10" t="s">
        <v>315</v>
      </c>
      <c r="B13" s="56">
        <v>1.32</v>
      </c>
      <c r="C13" s="11"/>
      <c r="D13" s="11"/>
      <c r="E13" s="20"/>
    </row>
    <row r="14" spans="1:5" ht="20.25" customHeight="1">
      <c r="A14" s="12" t="s">
        <v>318</v>
      </c>
      <c r="B14" s="13">
        <f>SUM(B15:B17)</f>
        <v>6041.93</v>
      </c>
      <c r="C14" s="13">
        <f>SUM(C15:C17)</f>
        <v>8709.24</v>
      </c>
      <c r="D14" s="13">
        <f>SUM(D15:D17)</f>
        <v>9112</v>
      </c>
      <c r="E14" s="19">
        <f t="shared" si="0"/>
        <v>1.0462451373483794</v>
      </c>
    </row>
    <row r="15" spans="1:5" ht="20.25" customHeight="1">
      <c r="A15" s="10" t="s">
        <v>324</v>
      </c>
      <c r="B15" s="11">
        <v>2703.08</v>
      </c>
      <c r="C15" s="11">
        <v>2645.08</v>
      </c>
      <c r="D15" s="11">
        <v>2826</v>
      </c>
      <c r="E15" s="20">
        <f t="shared" si="0"/>
        <v>1.068398687374295</v>
      </c>
    </row>
    <row r="16" spans="1:5" ht="20.25" customHeight="1">
      <c r="A16" s="53" t="s">
        <v>426</v>
      </c>
      <c r="B16" s="11">
        <v>3338.85</v>
      </c>
      <c r="C16" s="11">
        <v>6064.16</v>
      </c>
      <c r="D16" s="11">
        <v>6286</v>
      </c>
      <c r="E16" s="16">
        <f t="shared" si="0"/>
        <v>1.0365821482282789</v>
      </c>
    </row>
    <row r="17" spans="1:5" ht="20.25" customHeight="1">
      <c r="A17" s="10" t="s">
        <v>315</v>
      </c>
      <c r="B17" s="11"/>
      <c r="C17" s="11"/>
      <c r="D17" s="11"/>
      <c r="E17" s="20"/>
    </row>
    <row r="18" spans="1:5" ht="20.25" customHeight="1">
      <c r="A18" s="12" t="s">
        <v>319</v>
      </c>
      <c r="B18" s="13">
        <f>SUM(B19:B21)</f>
        <v>633.9699999999999</v>
      </c>
      <c r="C18" s="13">
        <f>SUM(C19:C21)</f>
        <v>503.03</v>
      </c>
      <c r="D18" s="13">
        <f>SUM(D19:D21)</f>
        <v>550</v>
      </c>
      <c r="E18" s="19">
        <f t="shared" si="0"/>
        <v>1.0933741526350318</v>
      </c>
    </row>
    <row r="19" spans="1:5" ht="20.25" customHeight="1">
      <c r="A19" s="10" t="s">
        <v>323</v>
      </c>
      <c r="B19" s="11">
        <v>226.1</v>
      </c>
      <c r="C19" s="11"/>
      <c r="D19" s="11"/>
      <c r="E19" s="20"/>
    </row>
    <row r="20" spans="1:5" ht="20.25" customHeight="1">
      <c r="A20" s="53" t="s">
        <v>428</v>
      </c>
      <c r="B20" s="11">
        <v>407.57</v>
      </c>
      <c r="C20" s="11">
        <v>503.03</v>
      </c>
      <c r="D20" s="11">
        <v>550</v>
      </c>
      <c r="E20" s="16">
        <f t="shared" si="0"/>
        <v>1.0933741526350318</v>
      </c>
    </row>
    <row r="21" spans="1:5" ht="20.25" customHeight="1">
      <c r="A21" s="10" t="s">
        <v>315</v>
      </c>
      <c r="B21" s="11">
        <v>0.3</v>
      </c>
      <c r="C21" s="11"/>
      <c r="D21" s="11"/>
      <c r="E21" s="20"/>
    </row>
    <row r="22" spans="1:5" ht="20.25" customHeight="1">
      <c r="A22" s="12" t="s">
        <v>371</v>
      </c>
      <c r="B22" s="13">
        <f>SUM(B23:B25)</f>
        <v>355.4</v>
      </c>
      <c r="C22" s="13">
        <f>SUM(C23:C25)</f>
        <v>283.4</v>
      </c>
      <c r="D22" s="13">
        <f>SUM(D23:D25)</f>
        <v>296</v>
      </c>
      <c r="E22" s="19">
        <f t="shared" si="0"/>
        <v>1.0444601270289344</v>
      </c>
    </row>
    <row r="23" spans="1:5" ht="20.25" customHeight="1">
      <c r="A23" s="10" t="s">
        <v>325</v>
      </c>
      <c r="B23" s="11">
        <v>167.82</v>
      </c>
      <c r="C23" s="11"/>
      <c r="D23" s="11"/>
      <c r="E23" s="20"/>
    </row>
    <row r="24" spans="1:5" ht="20.25" customHeight="1">
      <c r="A24" s="53" t="s">
        <v>425</v>
      </c>
      <c r="B24" s="11">
        <v>187.58</v>
      </c>
      <c r="C24" s="11">
        <v>283.4</v>
      </c>
      <c r="D24" s="11">
        <v>296</v>
      </c>
      <c r="E24" s="16">
        <f t="shared" si="0"/>
        <v>1.0444601270289344</v>
      </c>
    </row>
    <row r="25" spans="1:5" ht="20.25" customHeight="1">
      <c r="A25" s="10" t="s">
        <v>315</v>
      </c>
      <c r="B25" s="11"/>
      <c r="C25" s="11"/>
      <c r="D25" s="11"/>
      <c r="E25" s="20"/>
    </row>
    <row r="26" spans="1:5" ht="20.25" customHeight="1">
      <c r="A26" s="12" t="s">
        <v>372</v>
      </c>
      <c r="B26" s="13">
        <f>SUM(B27:B28)</f>
        <v>945.17</v>
      </c>
      <c r="C26" s="13">
        <f>SUM(C27:C28)</f>
        <v>1600</v>
      </c>
      <c r="D26" s="13">
        <f>SUM(D27:D28)</f>
        <v>1680</v>
      </c>
      <c r="E26" s="19">
        <f t="shared" si="0"/>
        <v>1.05</v>
      </c>
    </row>
    <row r="27" spans="1:5" ht="20.25" customHeight="1">
      <c r="A27" s="10" t="s">
        <v>326</v>
      </c>
      <c r="B27" s="11">
        <v>922.87</v>
      </c>
      <c r="C27" s="11">
        <v>1600</v>
      </c>
      <c r="D27" s="11">
        <v>1680</v>
      </c>
      <c r="E27" s="20">
        <f t="shared" si="0"/>
        <v>1.05</v>
      </c>
    </row>
    <row r="28" spans="1:5" ht="20.25" customHeight="1">
      <c r="A28" s="10" t="s">
        <v>315</v>
      </c>
      <c r="B28" s="11">
        <v>22.3</v>
      </c>
      <c r="C28" s="11"/>
      <c r="D28" s="11"/>
      <c r="E28" s="20"/>
    </row>
    <row r="29" spans="1:5" ht="20.25" customHeight="1">
      <c r="A29" s="12" t="s">
        <v>320</v>
      </c>
      <c r="B29" s="13">
        <f>SUM(B30:B32)</f>
        <v>81.39</v>
      </c>
      <c r="C29" s="13">
        <f>SUM(C30:C32)</f>
        <v>161.2</v>
      </c>
      <c r="D29" s="13">
        <f>SUM(D30:D32)</f>
        <v>175</v>
      </c>
      <c r="E29" s="19">
        <f t="shared" si="0"/>
        <v>1.08560794044665</v>
      </c>
    </row>
    <row r="30" spans="1:5" ht="20.25" customHeight="1">
      <c r="A30" s="10" t="s">
        <v>357</v>
      </c>
      <c r="B30" s="11">
        <v>65.97</v>
      </c>
      <c r="C30" s="11">
        <v>30</v>
      </c>
      <c r="D30" s="11">
        <v>33</v>
      </c>
      <c r="E30" s="20">
        <f t="shared" si="0"/>
        <v>1.1</v>
      </c>
    </row>
    <row r="31" spans="1:5" ht="20.25" customHeight="1">
      <c r="A31" s="53" t="s">
        <v>427</v>
      </c>
      <c r="B31" s="11">
        <v>15.42</v>
      </c>
      <c r="C31" s="11">
        <v>131.2</v>
      </c>
      <c r="D31" s="11">
        <v>142</v>
      </c>
      <c r="E31" s="16">
        <f t="shared" si="0"/>
        <v>1.082317073170732</v>
      </c>
    </row>
    <row r="32" spans="1:5" ht="20.25" customHeight="1">
      <c r="A32" s="10" t="s">
        <v>315</v>
      </c>
      <c r="B32" s="13"/>
      <c r="C32" s="11"/>
      <c r="D32" s="11"/>
      <c r="E32" s="20"/>
    </row>
    <row r="33" spans="1:5" ht="20.25" customHeight="1">
      <c r="A33" s="12" t="s">
        <v>373</v>
      </c>
      <c r="B33" s="13">
        <f>SUM(B34:B35)</f>
        <v>6774.070000000001</v>
      </c>
      <c r="C33" s="13">
        <f>SUM(C34:C35)</f>
        <v>8852.31</v>
      </c>
      <c r="D33" s="13">
        <f>SUM(D34:D35)</f>
        <v>9310</v>
      </c>
      <c r="E33" s="19">
        <f t="shared" si="0"/>
        <v>1.051702888850481</v>
      </c>
    </row>
    <row r="34" spans="1:5" ht="20.25" customHeight="1">
      <c r="A34" s="10" t="s">
        <v>327</v>
      </c>
      <c r="B34" s="11">
        <v>6514.26</v>
      </c>
      <c r="C34" s="11">
        <v>8852.31</v>
      </c>
      <c r="D34" s="11">
        <v>9310</v>
      </c>
      <c r="E34" s="20">
        <f t="shared" si="0"/>
        <v>1.051702888850481</v>
      </c>
    </row>
    <row r="35" spans="1:5" ht="20.25" customHeight="1">
      <c r="A35" s="10" t="s">
        <v>315</v>
      </c>
      <c r="B35" s="11">
        <v>259.81</v>
      </c>
      <c r="C35" s="11"/>
      <c r="D35" s="11"/>
      <c r="E35" s="20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E21" sqref="A1:E21"/>
    </sheetView>
  </sheetViews>
  <sheetFormatPr defaultColWidth="9.140625" defaultRowHeight="15"/>
  <cols>
    <col min="1" max="1" width="42.140625" style="0" bestFit="1" customWidth="1"/>
    <col min="2" max="2" width="10.421875" style="0" hidden="1" customWidth="1"/>
    <col min="3" max="4" width="14.140625" style="0" customWidth="1"/>
    <col min="5" max="5" width="15.8515625" style="0" customWidth="1"/>
  </cols>
  <sheetData>
    <row r="1" spans="1:5" ht="39.75" customHeight="1">
      <c r="A1" s="79" t="s">
        <v>504</v>
      </c>
      <c r="B1" s="80"/>
      <c r="C1" s="80"/>
      <c r="D1" s="80"/>
      <c r="E1" s="80"/>
    </row>
    <row r="2" ht="27" customHeight="1">
      <c r="E2" s="25" t="s">
        <v>53</v>
      </c>
    </row>
    <row r="3" spans="1:5" s="8" customFormat="1" ht="27">
      <c r="A3" s="9" t="s">
        <v>310</v>
      </c>
      <c r="B3" s="9" t="s">
        <v>313</v>
      </c>
      <c r="C3" s="9" t="s">
        <v>505</v>
      </c>
      <c r="D3" s="9" t="s">
        <v>488</v>
      </c>
      <c r="E3" s="9" t="s">
        <v>347</v>
      </c>
    </row>
    <row r="4" spans="1:5" ht="24.75" customHeight="1">
      <c r="A4" s="14" t="s">
        <v>337</v>
      </c>
      <c r="B4" s="13">
        <f>SUM(B5:B12)</f>
        <v>2953.6800000000003</v>
      </c>
      <c r="C4" s="13">
        <f>SUM(C5:C12)</f>
        <v>2856.5800000000017</v>
      </c>
      <c r="D4" s="13">
        <f>SUM(D5:D12)</f>
        <v>2924.4</v>
      </c>
      <c r="E4" s="19">
        <f>D4/C4</f>
        <v>1.0237416771103902</v>
      </c>
    </row>
    <row r="5" spans="1:5" ht="24.75" customHeight="1">
      <c r="A5" s="10" t="s">
        <v>329</v>
      </c>
      <c r="B5" s="11">
        <v>825.82</v>
      </c>
      <c r="C5" s="11">
        <v>-421.8199999999997</v>
      </c>
      <c r="D5" s="10">
        <v>-367</v>
      </c>
      <c r="E5" s="20">
        <f>-D5/C5+1</f>
        <v>0.12996064672134977</v>
      </c>
    </row>
    <row r="6" spans="1:5" ht="24.75" customHeight="1">
      <c r="A6" s="10" t="s">
        <v>330</v>
      </c>
      <c r="B6" s="11">
        <v>105.59</v>
      </c>
      <c r="C6" s="11">
        <v>1.4899999999998954</v>
      </c>
      <c r="D6" s="10">
        <v>1.6</v>
      </c>
      <c r="E6" s="20">
        <f aca="true" t="shared" si="0" ref="E6:E21">D6/C6</f>
        <v>1.0738255033557802</v>
      </c>
    </row>
    <row r="7" spans="1:5" ht="24.75" customHeight="1">
      <c r="A7" s="10" t="s">
        <v>331</v>
      </c>
      <c r="B7" s="11">
        <v>654.22</v>
      </c>
      <c r="C7" s="11">
        <v>158.1800000000003</v>
      </c>
      <c r="D7" s="10">
        <v>153</v>
      </c>
      <c r="E7" s="20">
        <f t="shared" si="0"/>
        <v>0.967252497155138</v>
      </c>
    </row>
    <row r="8" spans="1:5" ht="24.75" customHeight="1">
      <c r="A8" s="10" t="s">
        <v>332</v>
      </c>
      <c r="B8" s="11">
        <v>44.67</v>
      </c>
      <c r="C8" s="11">
        <v>29.129999999999995</v>
      </c>
      <c r="D8" s="10">
        <v>32</v>
      </c>
      <c r="E8" s="20">
        <f t="shared" si="0"/>
        <v>1.0985238585650534</v>
      </c>
    </row>
    <row r="9" spans="1:5" ht="24.75" customHeight="1">
      <c r="A9" s="10" t="s">
        <v>333</v>
      </c>
      <c r="B9" s="11">
        <v>59.21</v>
      </c>
      <c r="C9" s="11">
        <v>2.990000000000009</v>
      </c>
      <c r="D9" s="10">
        <v>3.2</v>
      </c>
      <c r="E9" s="20">
        <f t="shared" si="0"/>
        <v>1.0702341137123714</v>
      </c>
    </row>
    <row r="10" spans="1:5" ht="24.75" customHeight="1">
      <c r="A10" s="10" t="s">
        <v>334</v>
      </c>
      <c r="B10" s="11">
        <v>922.59</v>
      </c>
      <c r="C10" s="11">
        <v>1150.0900000000001</v>
      </c>
      <c r="D10" s="10">
        <v>1138</v>
      </c>
      <c r="E10" s="20">
        <f t="shared" si="0"/>
        <v>0.9894877792172785</v>
      </c>
    </row>
    <row r="11" spans="1:5" ht="24.75" customHeight="1">
      <c r="A11" s="10" t="s">
        <v>335</v>
      </c>
      <c r="B11" s="11">
        <v>80.08</v>
      </c>
      <c r="C11" s="11">
        <v>3.4799999999999898</v>
      </c>
      <c r="D11" s="10">
        <v>3.6</v>
      </c>
      <c r="E11" s="20">
        <f t="shared" si="0"/>
        <v>1.0344827586206928</v>
      </c>
    </row>
    <row r="12" spans="1:5" ht="24.75" customHeight="1">
      <c r="A12" s="10" t="s">
        <v>336</v>
      </c>
      <c r="B12" s="11">
        <v>261.5</v>
      </c>
      <c r="C12" s="11">
        <v>1933.0400000000009</v>
      </c>
      <c r="D12" s="10">
        <v>1960</v>
      </c>
      <c r="E12" s="20">
        <f t="shared" si="0"/>
        <v>1.0139469436742121</v>
      </c>
    </row>
    <row r="13" spans="1:5" ht="24.75" customHeight="1">
      <c r="A13" s="12" t="s">
        <v>346</v>
      </c>
      <c r="B13" s="13">
        <f>SUM(B15:B21)</f>
        <v>9595.81</v>
      </c>
      <c r="C13" s="13">
        <f>SUM(C14:C21)</f>
        <v>15818.400000000001</v>
      </c>
      <c r="D13" s="13">
        <f>SUM(D15:D21)</f>
        <v>14843</v>
      </c>
      <c r="E13" s="19">
        <f t="shared" si="0"/>
        <v>0.9383376321246143</v>
      </c>
    </row>
    <row r="14" spans="1:5" ht="24.75" customHeight="1">
      <c r="A14" s="10" t="s">
        <v>338</v>
      </c>
      <c r="B14" s="11">
        <v>2382.86</v>
      </c>
      <c r="C14" s="11">
        <f>1833.33-421.82</f>
        <v>1411.51</v>
      </c>
      <c r="D14" s="10">
        <v>1450</v>
      </c>
      <c r="E14" s="20">
        <f t="shared" si="0"/>
        <v>1.0272686697224958</v>
      </c>
    </row>
    <row r="15" spans="1:5" ht="24.75" customHeight="1">
      <c r="A15" s="10" t="s">
        <v>339</v>
      </c>
      <c r="B15" s="11">
        <v>119.32</v>
      </c>
      <c r="C15" s="11">
        <f>284.91+1.49</f>
        <v>286.40000000000003</v>
      </c>
      <c r="D15" s="10">
        <v>300</v>
      </c>
      <c r="E15" s="20">
        <f t="shared" si="0"/>
        <v>1.047486033519553</v>
      </c>
    </row>
    <row r="16" spans="1:5" ht="24.75" customHeight="1">
      <c r="A16" s="10" t="s">
        <v>340</v>
      </c>
      <c r="B16" s="11">
        <v>1648.9</v>
      </c>
      <c r="C16" s="11">
        <f>419.51+158.18</f>
        <v>577.69</v>
      </c>
      <c r="D16" s="10">
        <v>600</v>
      </c>
      <c r="E16" s="20">
        <f t="shared" si="0"/>
        <v>1.038619328705707</v>
      </c>
    </row>
    <row r="17" spans="1:5" ht="24.75" customHeight="1">
      <c r="A17" s="10" t="s">
        <v>341</v>
      </c>
      <c r="B17" s="11">
        <v>86.67</v>
      </c>
      <c r="C17" s="11">
        <f>138.98+29.13</f>
        <v>168.10999999999999</v>
      </c>
      <c r="D17" s="10">
        <v>180</v>
      </c>
      <c r="E17" s="20">
        <f t="shared" si="0"/>
        <v>1.070727499851288</v>
      </c>
    </row>
    <row r="18" spans="1:5" ht="24.75" customHeight="1">
      <c r="A18" s="10" t="s">
        <v>342</v>
      </c>
      <c r="B18" s="11">
        <v>107.61</v>
      </c>
      <c r="C18" s="11">
        <f>156.36+2.99</f>
        <v>159.35000000000002</v>
      </c>
      <c r="D18" s="10">
        <v>172</v>
      </c>
      <c r="E18" s="20">
        <f t="shared" si="0"/>
        <v>1.0793850015688733</v>
      </c>
    </row>
    <row r="19" spans="1:5" ht="24.75" customHeight="1">
      <c r="A19" s="10" t="s">
        <v>343</v>
      </c>
      <c r="B19" s="11">
        <v>5464.92</v>
      </c>
      <c r="C19" s="11">
        <f>6542.91+1150.09</f>
        <v>7693</v>
      </c>
      <c r="D19" s="10">
        <v>7768</v>
      </c>
      <c r="E19" s="20">
        <f t="shared" si="0"/>
        <v>1.0097491225789679</v>
      </c>
    </row>
    <row r="20" spans="1:5" ht="24.75" customHeight="1">
      <c r="A20" s="10" t="s">
        <v>344</v>
      </c>
      <c r="B20" s="11">
        <v>164.69</v>
      </c>
      <c r="C20" s="11">
        <f>100.86+3.48</f>
        <v>104.34</v>
      </c>
      <c r="D20" s="10">
        <v>107</v>
      </c>
      <c r="E20" s="20">
        <f t="shared" si="0"/>
        <v>1.025493578685068</v>
      </c>
    </row>
    <row r="21" spans="1:5" ht="24.75" customHeight="1">
      <c r="A21" s="10" t="s">
        <v>345</v>
      </c>
      <c r="B21" s="11">
        <v>2003.7</v>
      </c>
      <c r="C21" s="11">
        <f>3484.96+1933.04</f>
        <v>5418</v>
      </c>
      <c r="D21" s="10">
        <v>5716</v>
      </c>
      <c r="E21" s="20">
        <f t="shared" si="0"/>
        <v>1.05500184569952</v>
      </c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7" sqref="A1:E17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73" t="s">
        <v>517</v>
      </c>
      <c r="B1" s="73"/>
      <c r="C1" s="73"/>
      <c r="D1" s="73"/>
      <c r="E1" s="73"/>
    </row>
    <row r="2" spans="1:5" ht="27" customHeight="1">
      <c r="A2" s="21"/>
      <c r="B2" s="21"/>
      <c r="C2" s="21"/>
      <c r="D2" s="21"/>
      <c r="E2" s="26" t="s">
        <v>53</v>
      </c>
    </row>
    <row r="3" spans="1:5" s="1" customFormat="1" ht="21" customHeight="1">
      <c r="A3" s="47" t="s">
        <v>0</v>
      </c>
      <c r="B3" s="47" t="s">
        <v>1</v>
      </c>
      <c r="C3" s="68" t="s">
        <v>492</v>
      </c>
      <c r="D3" s="68" t="s">
        <v>493</v>
      </c>
      <c r="E3" s="47" t="s">
        <v>52</v>
      </c>
    </row>
    <row r="4" spans="1:5" ht="21" customHeight="1">
      <c r="A4" s="22" t="s">
        <v>511</v>
      </c>
      <c r="B4" s="49"/>
      <c r="C4" s="49"/>
      <c r="D4" s="49"/>
      <c r="E4" s="22"/>
    </row>
    <row r="5" spans="1:5" ht="21" customHeight="1">
      <c r="A5" s="22" t="s">
        <v>513</v>
      </c>
      <c r="B5" s="50">
        <f>366+100</f>
        <v>466</v>
      </c>
      <c r="C5" s="50"/>
      <c r="D5" s="50"/>
      <c r="E5" s="23"/>
    </row>
    <row r="6" spans="1:5" ht="21" customHeight="1">
      <c r="A6" s="22" t="s">
        <v>512</v>
      </c>
      <c r="B6" s="50">
        <v>24</v>
      </c>
      <c r="C6" s="50"/>
      <c r="D6" s="50"/>
      <c r="E6" s="23"/>
    </row>
    <row r="7" spans="1:5" ht="21" customHeight="1">
      <c r="A7" s="22" t="s">
        <v>514</v>
      </c>
      <c r="B7" s="50">
        <v>417</v>
      </c>
      <c r="C7" s="50"/>
      <c r="D7" s="50"/>
      <c r="E7" s="23"/>
    </row>
    <row r="8" spans="1:5" ht="21" customHeight="1">
      <c r="A8" s="22"/>
      <c r="B8" s="50"/>
      <c r="C8" s="50"/>
      <c r="D8" s="50"/>
      <c r="E8" s="23"/>
    </row>
    <row r="9" spans="1:5" ht="21" customHeight="1">
      <c r="A9" s="22"/>
      <c r="B9" s="50">
        <f>3691+230</f>
        <v>3921</v>
      </c>
      <c r="C9" s="50"/>
      <c r="D9" s="50"/>
      <c r="E9" s="23"/>
    </row>
    <row r="10" spans="1:5" ht="21" customHeight="1">
      <c r="A10" s="22"/>
      <c r="B10" s="50">
        <v>102</v>
      </c>
      <c r="C10" s="50"/>
      <c r="D10" s="50"/>
      <c r="E10" s="23"/>
    </row>
    <row r="11" spans="1:5" ht="21" customHeight="1">
      <c r="A11" s="22"/>
      <c r="B11" s="50"/>
      <c r="C11" s="50"/>
      <c r="D11" s="50"/>
      <c r="E11" s="23"/>
    </row>
    <row r="12" spans="1:5" ht="21" customHeight="1">
      <c r="A12" s="22"/>
      <c r="B12" s="50"/>
      <c r="C12" s="50"/>
      <c r="D12" s="50"/>
      <c r="E12" s="23"/>
    </row>
    <row r="13" spans="1:5" ht="21" customHeight="1">
      <c r="A13" s="22"/>
      <c r="B13" s="50"/>
      <c r="C13" s="50"/>
      <c r="D13" s="50"/>
      <c r="E13" s="23"/>
    </row>
    <row r="14" spans="1:5" ht="21" customHeight="1">
      <c r="A14" s="22"/>
      <c r="B14" s="50">
        <v>968</v>
      </c>
      <c r="C14" s="50"/>
      <c r="D14" s="50"/>
      <c r="E14" s="23"/>
    </row>
    <row r="15" spans="1:5" ht="21" customHeight="1">
      <c r="A15" s="22"/>
      <c r="B15" s="50"/>
      <c r="C15" s="50"/>
      <c r="D15" s="50"/>
      <c r="E15" s="23"/>
    </row>
    <row r="16" spans="1:5" ht="21" customHeight="1">
      <c r="A16" s="22"/>
      <c r="B16" s="50"/>
      <c r="C16" s="50"/>
      <c r="D16" s="50"/>
      <c r="E16" s="23"/>
    </row>
    <row r="17" spans="1:5" ht="21" customHeight="1">
      <c r="A17" s="28" t="s">
        <v>515</v>
      </c>
      <c r="B17" s="35">
        <f>SUM(B5:B16)</f>
        <v>5898</v>
      </c>
      <c r="C17" s="35">
        <f>SUM(C5:C16)</f>
        <v>0</v>
      </c>
      <c r="D17" s="35">
        <f>SUM(D5:D16)</f>
        <v>0</v>
      </c>
      <c r="E17" s="48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73" t="s">
        <v>516</v>
      </c>
      <c r="B1" s="73"/>
      <c r="C1" s="73"/>
      <c r="D1" s="73"/>
      <c r="E1" s="73"/>
    </row>
    <row r="2" spans="1:5" ht="27" customHeight="1">
      <c r="A2" s="21"/>
      <c r="B2" s="21"/>
      <c r="C2" s="21"/>
      <c r="D2" s="21"/>
      <c r="E2" s="26" t="s">
        <v>53</v>
      </c>
    </row>
    <row r="3" spans="1:5" s="1" customFormat="1" ht="21" customHeight="1">
      <c r="A3" s="47" t="s">
        <v>0</v>
      </c>
      <c r="B3" s="47" t="s">
        <v>1</v>
      </c>
      <c r="C3" s="68" t="s">
        <v>492</v>
      </c>
      <c r="D3" s="68" t="s">
        <v>493</v>
      </c>
      <c r="E3" s="47" t="s">
        <v>52</v>
      </c>
    </row>
    <row r="4" spans="1:5" ht="21" customHeight="1">
      <c r="A4" s="22" t="s">
        <v>518</v>
      </c>
      <c r="B4" s="49"/>
      <c r="C4" s="49"/>
      <c r="D4" s="49"/>
      <c r="E4" s="22"/>
    </row>
    <row r="5" spans="1:5" ht="21" customHeight="1">
      <c r="A5" s="22" t="s">
        <v>521</v>
      </c>
      <c r="B5" s="50">
        <f>366+100</f>
        <v>466</v>
      </c>
      <c r="C5" s="50"/>
      <c r="D5" s="50"/>
      <c r="E5" s="23"/>
    </row>
    <row r="6" spans="1:5" ht="21" customHeight="1">
      <c r="A6" s="22" t="s">
        <v>519</v>
      </c>
      <c r="B6" s="50">
        <v>24</v>
      </c>
      <c r="C6" s="50"/>
      <c r="D6" s="50"/>
      <c r="E6" s="23"/>
    </row>
    <row r="7" spans="1:5" ht="21" customHeight="1">
      <c r="A7" s="22" t="s">
        <v>522</v>
      </c>
      <c r="B7" s="50">
        <v>417</v>
      </c>
      <c r="C7" s="50"/>
      <c r="D7" s="50"/>
      <c r="E7" s="23"/>
    </row>
    <row r="8" spans="1:5" ht="21" customHeight="1">
      <c r="A8" s="22" t="s">
        <v>523</v>
      </c>
      <c r="B8" s="50"/>
      <c r="C8" s="50"/>
      <c r="D8" s="50"/>
      <c r="E8" s="23"/>
    </row>
    <row r="9" spans="1:5" ht="21" customHeight="1">
      <c r="A9" s="22" t="s">
        <v>524</v>
      </c>
      <c r="B9" s="50">
        <f>3691+230</f>
        <v>3921</v>
      </c>
      <c r="C9" s="50"/>
      <c r="D9" s="50"/>
      <c r="E9" s="23"/>
    </row>
    <row r="10" spans="1:5" ht="21" customHeight="1">
      <c r="A10" s="22" t="s">
        <v>525</v>
      </c>
      <c r="B10" s="50">
        <v>102</v>
      </c>
      <c r="C10" s="50"/>
      <c r="D10" s="50"/>
      <c r="E10" s="23"/>
    </row>
    <row r="11" spans="1:5" ht="21" customHeight="1">
      <c r="A11" s="22" t="s">
        <v>520</v>
      </c>
      <c r="B11" s="50"/>
      <c r="C11" s="50"/>
      <c r="D11" s="50"/>
      <c r="E11" s="23"/>
    </row>
    <row r="12" spans="1:5" ht="21" customHeight="1">
      <c r="A12" s="22" t="s">
        <v>526</v>
      </c>
      <c r="B12" s="50"/>
      <c r="C12" s="50"/>
      <c r="D12" s="50"/>
      <c r="E12" s="23"/>
    </row>
    <row r="13" spans="1:5" ht="21" customHeight="1">
      <c r="A13" s="22" t="s">
        <v>527</v>
      </c>
      <c r="B13" s="50"/>
      <c r="C13" s="50"/>
      <c r="D13" s="50"/>
      <c r="E13" s="23"/>
    </row>
    <row r="14" spans="1:5" ht="21" customHeight="1">
      <c r="A14" s="22"/>
      <c r="B14" s="50">
        <v>968</v>
      </c>
      <c r="C14" s="50"/>
      <c r="D14" s="50"/>
      <c r="E14" s="23"/>
    </row>
    <row r="15" spans="1:5" ht="21" customHeight="1">
      <c r="A15" s="22"/>
      <c r="B15" s="50"/>
      <c r="C15" s="50"/>
      <c r="D15" s="50"/>
      <c r="E15" s="23"/>
    </row>
    <row r="16" spans="1:5" ht="21" customHeight="1">
      <c r="A16" s="22"/>
      <c r="B16" s="50"/>
      <c r="C16" s="50"/>
      <c r="D16" s="50"/>
      <c r="E16" s="23"/>
    </row>
    <row r="17" spans="1:5" ht="21" customHeight="1">
      <c r="A17" s="28" t="s">
        <v>528</v>
      </c>
      <c r="B17" s="35">
        <f>SUM(B5:B16)</f>
        <v>5898</v>
      </c>
      <c r="C17" s="35">
        <f>SUM(C5:C16)</f>
        <v>0</v>
      </c>
      <c r="D17" s="35">
        <f>SUM(D5:D16)</f>
        <v>0</v>
      </c>
      <c r="E17" s="48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2">
      <selection activeCell="A29" sqref="A29:IV35"/>
    </sheetView>
  </sheetViews>
  <sheetFormatPr defaultColWidth="9.140625" defaultRowHeight="15"/>
  <cols>
    <col min="1" max="1" width="38.2812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73" t="s">
        <v>482</v>
      </c>
      <c r="B1" s="73"/>
      <c r="C1" s="73"/>
      <c r="D1" s="73"/>
      <c r="E1" s="73"/>
    </row>
    <row r="2" ht="27" customHeight="1">
      <c r="E2" s="25" t="s">
        <v>53</v>
      </c>
    </row>
    <row r="3" spans="1:5" s="1" customFormat="1" ht="21" customHeight="1">
      <c r="A3" s="29" t="s">
        <v>0</v>
      </c>
      <c r="B3" s="27" t="s">
        <v>2</v>
      </c>
      <c r="C3" s="27" t="s">
        <v>483</v>
      </c>
      <c r="D3" s="59" t="s">
        <v>481</v>
      </c>
      <c r="E3" s="32" t="s">
        <v>52</v>
      </c>
    </row>
    <row r="4" spans="1:5" ht="21" customHeight="1">
      <c r="A4" t="s">
        <v>54</v>
      </c>
      <c r="B4" s="34">
        <v>34715</v>
      </c>
      <c r="C4" s="34">
        <v>39395</v>
      </c>
      <c r="D4" s="34">
        <v>53003</v>
      </c>
      <c r="E4" s="4">
        <f>(D4/C4-1)</f>
        <v>0.3454245462622161</v>
      </c>
    </row>
    <row r="5" spans="1:5" ht="21" customHeight="1">
      <c r="A5" t="s">
        <v>55</v>
      </c>
      <c r="B5" s="34"/>
      <c r="C5" s="34"/>
      <c r="D5" s="34"/>
      <c r="E5" s="4"/>
    </row>
    <row r="6" spans="1:5" ht="21" customHeight="1">
      <c r="A6" t="s">
        <v>56</v>
      </c>
      <c r="B6" s="34">
        <v>12</v>
      </c>
      <c r="C6" s="34">
        <v>8</v>
      </c>
      <c r="D6" s="34"/>
      <c r="E6" s="4"/>
    </row>
    <row r="7" spans="1:5" ht="21" customHeight="1">
      <c r="A7" t="s">
        <v>57</v>
      </c>
      <c r="B7" s="34">
        <v>12933</v>
      </c>
      <c r="C7" s="34">
        <v>16622</v>
      </c>
      <c r="D7" s="34">
        <v>23203</v>
      </c>
      <c r="E7" s="4">
        <f aca="true" t="shared" si="0" ref="E7:E28">(D7/C7-1)</f>
        <v>0.3959210684634822</v>
      </c>
    </row>
    <row r="8" spans="1:5" ht="21" customHeight="1">
      <c r="A8" t="s">
        <v>58</v>
      </c>
      <c r="B8" s="34">
        <v>55413</v>
      </c>
      <c r="C8" s="34">
        <v>91647</v>
      </c>
      <c r="D8" s="34">
        <v>101589</v>
      </c>
      <c r="E8" s="4">
        <f t="shared" si="0"/>
        <v>0.10848145602147374</v>
      </c>
    </row>
    <row r="9" spans="1:5" ht="21" customHeight="1">
      <c r="A9" t="s">
        <v>59</v>
      </c>
      <c r="B9" s="34">
        <v>306</v>
      </c>
      <c r="C9" s="34">
        <v>311</v>
      </c>
      <c r="D9" s="34">
        <v>441</v>
      </c>
      <c r="E9" s="4">
        <f t="shared" si="0"/>
        <v>0.41800643086816724</v>
      </c>
    </row>
    <row r="10" spans="1:5" ht="21" customHeight="1">
      <c r="A10" t="s">
        <v>60</v>
      </c>
      <c r="B10" s="34">
        <v>3040</v>
      </c>
      <c r="C10" s="34">
        <v>3985</v>
      </c>
      <c r="D10" s="34">
        <v>4189</v>
      </c>
      <c r="E10" s="4">
        <f t="shared" si="0"/>
        <v>0.05119196988707664</v>
      </c>
    </row>
    <row r="11" spans="1:5" ht="21" customHeight="1">
      <c r="A11" t="s">
        <v>61</v>
      </c>
      <c r="B11" s="34">
        <v>14611</v>
      </c>
      <c r="C11" s="34">
        <v>20082</v>
      </c>
      <c r="D11" s="34">
        <f>19233+10611</f>
        <v>29844</v>
      </c>
      <c r="E11" s="4">
        <f t="shared" si="0"/>
        <v>0.486106961458022</v>
      </c>
    </row>
    <row r="12" spans="1:5" ht="21" customHeight="1">
      <c r="A12" t="s">
        <v>62</v>
      </c>
      <c r="B12" s="34">
        <v>15790</v>
      </c>
      <c r="C12" s="34">
        <v>26840</v>
      </c>
      <c r="D12" s="34">
        <v>32812</v>
      </c>
      <c r="E12" s="4">
        <f t="shared" si="0"/>
        <v>0.22250372578241429</v>
      </c>
    </row>
    <row r="13" spans="1:5" ht="21" customHeight="1">
      <c r="A13" t="s">
        <v>63</v>
      </c>
      <c r="B13" s="34">
        <v>743</v>
      </c>
      <c r="C13" s="34">
        <v>5303</v>
      </c>
      <c r="D13" s="34">
        <f>4674+1000</f>
        <v>5674</v>
      </c>
      <c r="E13" s="4">
        <f t="shared" si="0"/>
        <v>0.06996039977371304</v>
      </c>
    </row>
    <row r="14" spans="1:5" ht="21" customHeight="1">
      <c r="A14" t="s">
        <v>64</v>
      </c>
      <c r="B14" s="34">
        <v>2797</v>
      </c>
      <c r="C14" s="34">
        <v>5139</v>
      </c>
      <c r="D14" s="34">
        <f>3531+2000</f>
        <v>5531</v>
      </c>
      <c r="E14" s="4">
        <f t="shared" si="0"/>
        <v>0.07627943179606933</v>
      </c>
    </row>
    <row r="15" spans="1:5" ht="21" customHeight="1">
      <c r="A15" t="s">
        <v>65</v>
      </c>
      <c r="B15" s="34">
        <v>29742</v>
      </c>
      <c r="C15" s="34">
        <v>40650</v>
      </c>
      <c r="D15" s="34">
        <v>50709</v>
      </c>
      <c r="E15" s="4">
        <f t="shared" si="0"/>
        <v>0.24745387453874534</v>
      </c>
    </row>
    <row r="16" spans="1:5" ht="21" customHeight="1">
      <c r="A16" t="s">
        <v>66</v>
      </c>
      <c r="B16" s="34">
        <v>464</v>
      </c>
      <c r="C16" s="34">
        <v>684</v>
      </c>
      <c r="D16" s="34">
        <f>515+200</f>
        <v>715</v>
      </c>
      <c r="E16" s="4">
        <f t="shared" si="0"/>
        <v>0.04532163742690054</v>
      </c>
    </row>
    <row r="17" spans="1:5" ht="21" customHeight="1">
      <c r="A17" t="s">
        <v>67</v>
      </c>
      <c r="B17" s="34"/>
      <c r="C17" s="34">
        <v>5463</v>
      </c>
      <c r="D17" s="34">
        <f>4038+1600</f>
        <v>5638</v>
      </c>
      <c r="E17" s="4">
        <f t="shared" si="0"/>
        <v>0.032033681127585645</v>
      </c>
    </row>
    <row r="18" spans="1:5" ht="21" customHeight="1">
      <c r="A18" t="s">
        <v>68</v>
      </c>
      <c r="B18" s="34">
        <v>76</v>
      </c>
      <c r="C18" s="34">
        <v>2807</v>
      </c>
      <c r="D18" s="34">
        <f>1403+1800</f>
        <v>3203</v>
      </c>
      <c r="E18" s="4">
        <f t="shared" si="0"/>
        <v>0.14107588172426078</v>
      </c>
    </row>
    <row r="19" spans="1:5" ht="21" customHeight="1">
      <c r="A19" t="s">
        <v>69</v>
      </c>
      <c r="B19" s="34">
        <v>781</v>
      </c>
      <c r="C19" s="34"/>
      <c r="D19" s="34"/>
      <c r="E19" s="4"/>
    </row>
    <row r="20" spans="1:5" ht="21" customHeight="1">
      <c r="A20" t="s">
        <v>70</v>
      </c>
      <c r="B20" s="34"/>
      <c r="C20" s="34"/>
      <c r="D20" s="34"/>
      <c r="E20" s="4"/>
    </row>
    <row r="21" spans="1:5" ht="21" customHeight="1">
      <c r="A21" t="s">
        <v>71</v>
      </c>
      <c r="B21" s="34">
        <v>762</v>
      </c>
      <c r="C21" s="34">
        <v>1050</v>
      </c>
      <c r="D21" s="34">
        <f>930+150</f>
        <v>1080</v>
      </c>
      <c r="E21" s="4">
        <f t="shared" si="0"/>
        <v>0.02857142857142847</v>
      </c>
    </row>
    <row r="22" spans="1:5" ht="21" customHeight="1">
      <c r="A22" t="s">
        <v>72</v>
      </c>
      <c r="B22" s="34">
        <v>24614</v>
      </c>
      <c r="C22" s="34">
        <v>29754</v>
      </c>
      <c r="D22" s="34">
        <v>34838</v>
      </c>
      <c r="E22" s="4">
        <f t="shared" si="0"/>
        <v>0.17086778248302759</v>
      </c>
    </row>
    <row r="23" spans="1:5" ht="21" customHeight="1">
      <c r="A23" t="s">
        <v>73</v>
      </c>
      <c r="B23" s="34">
        <v>356</v>
      </c>
      <c r="C23" s="34">
        <v>810</v>
      </c>
      <c r="D23" s="34">
        <f>210+650</f>
        <v>860</v>
      </c>
      <c r="E23" s="4">
        <f t="shared" si="0"/>
        <v>0.06172839506172845</v>
      </c>
    </row>
    <row r="24" spans="1:5" ht="21" customHeight="1">
      <c r="A24" t="s">
        <v>74</v>
      </c>
      <c r="B24" s="34"/>
      <c r="C24" s="34"/>
      <c r="D24" s="34"/>
      <c r="E24" s="4"/>
    </row>
    <row r="25" spans="1:5" ht="21" customHeight="1">
      <c r="A25" t="s">
        <v>75</v>
      </c>
      <c r="B25" s="34"/>
      <c r="C25" s="34"/>
      <c r="D25" s="34">
        <v>914</v>
      </c>
      <c r="E25" s="4"/>
    </row>
    <row r="26" spans="1:5" ht="21" customHeight="1">
      <c r="A26" t="s">
        <v>76</v>
      </c>
      <c r="B26" s="34">
        <v>1064</v>
      </c>
      <c r="C26" s="34">
        <v>3618</v>
      </c>
      <c r="D26" s="34">
        <v>1738</v>
      </c>
      <c r="E26" s="4">
        <f t="shared" si="0"/>
        <v>-0.519624101713654</v>
      </c>
    </row>
    <row r="27" spans="2:5" ht="21" customHeight="1">
      <c r="B27" s="34"/>
      <c r="C27" s="34"/>
      <c r="D27" s="34"/>
      <c r="E27" s="4"/>
    </row>
    <row r="28" spans="1:5" ht="21" customHeight="1">
      <c r="A28" s="28" t="s">
        <v>77</v>
      </c>
      <c r="B28" s="35">
        <f>SUM(B4:B27)</f>
        <v>198219</v>
      </c>
      <c r="C28" s="35">
        <f>SUM(C4:C27)</f>
        <v>294168</v>
      </c>
      <c r="D28" s="35">
        <f>SUM(D4:D27)</f>
        <v>355981</v>
      </c>
      <c r="E28" s="48">
        <f t="shared" si="0"/>
        <v>0.21012822604770065</v>
      </c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5">
      <selection activeCell="E25" sqref="A1:E25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73" t="s">
        <v>484</v>
      </c>
      <c r="B1" s="73"/>
      <c r="C1" s="73"/>
      <c r="D1" s="73"/>
      <c r="E1" s="73"/>
    </row>
    <row r="2" ht="27" customHeight="1">
      <c r="E2" s="25" t="s">
        <v>53</v>
      </c>
    </row>
    <row r="3" spans="1:5" s="1" customFormat="1" ht="21" customHeight="1">
      <c r="A3" s="29" t="s">
        <v>0</v>
      </c>
      <c r="B3" s="27" t="s">
        <v>2</v>
      </c>
      <c r="C3" s="27" t="s">
        <v>435</v>
      </c>
      <c r="D3" s="59" t="s">
        <v>481</v>
      </c>
      <c r="E3" s="32" t="s">
        <v>52</v>
      </c>
    </row>
    <row r="4" spans="1:4" ht="21" customHeight="1">
      <c r="A4" t="s">
        <v>437</v>
      </c>
      <c r="B4" s="34"/>
      <c r="C4" s="34"/>
      <c r="D4" s="34"/>
    </row>
    <row r="5" spans="1:4" ht="21" customHeight="1">
      <c r="A5" t="s">
        <v>438</v>
      </c>
      <c r="B5" s="34"/>
      <c r="C5" s="34"/>
      <c r="D5" s="34"/>
    </row>
    <row r="6" spans="1:4" ht="21" customHeight="1">
      <c r="A6" t="s">
        <v>439</v>
      </c>
      <c r="B6" s="34"/>
      <c r="C6" s="34"/>
      <c r="D6" s="34"/>
    </row>
    <row r="7" spans="1:5" ht="21" customHeight="1">
      <c r="A7" t="s">
        <v>440</v>
      </c>
      <c r="B7" s="34"/>
      <c r="C7" s="34"/>
      <c r="D7" s="34"/>
      <c r="E7" s="4"/>
    </row>
    <row r="8" spans="1:5" ht="21" customHeight="1">
      <c r="A8" t="s">
        <v>441</v>
      </c>
      <c r="B8" s="34">
        <v>2177</v>
      </c>
      <c r="C8" s="34">
        <v>523</v>
      </c>
      <c r="D8" s="34">
        <v>2442</v>
      </c>
      <c r="E8" s="4">
        <f>(D8/C8-1)</f>
        <v>3.6692160611854687</v>
      </c>
    </row>
    <row r="9" spans="1:5" ht="21" customHeight="1">
      <c r="A9" t="s">
        <v>442</v>
      </c>
      <c r="B9" s="34"/>
      <c r="C9" s="34"/>
      <c r="D9" s="34"/>
      <c r="E9" s="4"/>
    </row>
    <row r="10" spans="1:5" ht="21" customHeight="1">
      <c r="A10" t="s">
        <v>443</v>
      </c>
      <c r="B10" s="34"/>
      <c r="C10" s="34"/>
      <c r="D10" s="34"/>
      <c r="E10" s="4"/>
    </row>
    <row r="11" spans="1:5" ht="21" customHeight="1">
      <c r="A11" t="s">
        <v>444</v>
      </c>
      <c r="B11" s="34"/>
      <c r="C11" s="34"/>
      <c r="D11" s="34"/>
      <c r="E11" s="4"/>
    </row>
    <row r="12" spans="1:5" ht="21" customHeight="1">
      <c r="A12" t="s">
        <v>445</v>
      </c>
      <c r="B12" s="34"/>
      <c r="C12" s="34"/>
      <c r="D12" s="34"/>
      <c r="E12" s="4"/>
    </row>
    <row r="13" spans="1:5" ht="21" customHeight="1">
      <c r="A13" t="s">
        <v>446</v>
      </c>
      <c r="B13" s="34"/>
      <c r="C13" s="34"/>
      <c r="D13" s="34"/>
      <c r="E13" s="4"/>
    </row>
    <row r="14" spans="1:5" ht="21" customHeight="1">
      <c r="A14" t="s">
        <v>447</v>
      </c>
      <c r="B14" s="34"/>
      <c r="C14" s="34"/>
      <c r="D14" s="34"/>
      <c r="E14" s="4"/>
    </row>
    <row r="15" spans="1:5" ht="21" customHeight="1">
      <c r="A15" t="s">
        <v>448</v>
      </c>
      <c r="B15" s="34"/>
      <c r="C15" s="34"/>
      <c r="D15" s="34"/>
      <c r="E15" s="4"/>
    </row>
    <row r="16" spans="1:5" ht="21" customHeight="1">
      <c r="A16" t="s">
        <v>449</v>
      </c>
      <c r="B16" s="34"/>
      <c r="C16" s="34"/>
      <c r="D16" s="34"/>
      <c r="E16" s="4"/>
    </row>
    <row r="17" spans="1:5" ht="21" customHeight="1">
      <c r="A17" t="s">
        <v>450</v>
      </c>
      <c r="B17" s="34"/>
      <c r="C17" s="34"/>
      <c r="D17" s="34"/>
      <c r="E17" s="4"/>
    </row>
    <row r="18" spans="1:5" ht="21" customHeight="1">
      <c r="A18" t="s">
        <v>451</v>
      </c>
      <c r="B18" s="34"/>
      <c r="C18" s="34"/>
      <c r="D18" s="34"/>
      <c r="E18" s="4"/>
    </row>
    <row r="19" spans="1:5" ht="21" customHeight="1">
      <c r="A19" t="s">
        <v>452</v>
      </c>
      <c r="B19" s="34"/>
      <c r="C19" s="34"/>
      <c r="D19" s="34"/>
      <c r="E19" s="4"/>
    </row>
    <row r="20" spans="1:5" ht="21" customHeight="1">
      <c r="A20" t="s">
        <v>453</v>
      </c>
      <c r="B20" s="34"/>
      <c r="C20" s="34"/>
      <c r="D20" s="34"/>
      <c r="E20" s="4"/>
    </row>
    <row r="21" spans="1:5" ht="21" customHeight="1">
      <c r="A21" t="s">
        <v>454</v>
      </c>
      <c r="B21" s="34"/>
      <c r="C21" s="34"/>
      <c r="D21" s="34"/>
      <c r="E21" s="4"/>
    </row>
    <row r="22" spans="2:5" ht="21" customHeight="1">
      <c r="B22" s="34"/>
      <c r="C22" s="34"/>
      <c r="D22" s="34"/>
      <c r="E22" s="4"/>
    </row>
    <row r="23" spans="2:5" ht="21" customHeight="1">
      <c r="B23" s="34"/>
      <c r="C23" s="34"/>
      <c r="D23" s="34"/>
      <c r="E23" s="4"/>
    </row>
    <row r="24" spans="2:5" ht="21" customHeight="1">
      <c r="B24" s="34"/>
      <c r="C24" s="34"/>
      <c r="D24" s="34"/>
      <c r="E24" s="4"/>
    </row>
    <row r="25" spans="1:5" ht="21" customHeight="1">
      <c r="A25" s="28" t="s">
        <v>407</v>
      </c>
      <c r="B25" s="35">
        <f>SUM(B4:B21)</f>
        <v>2177</v>
      </c>
      <c r="C25" s="35">
        <f>SUM(C4:C21)</f>
        <v>523</v>
      </c>
      <c r="D25" s="35">
        <f>SUM(D4:D21)</f>
        <v>2442</v>
      </c>
      <c r="E25" s="48">
        <f>(D25/C25-1)</f>
        <v>3.6692160611854687</v>
      </c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6" sqref="A1:E16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73" t="s">
        <v>485</v>
      </c>
      <c r="B1" s="73"/>
      <c r="C1" s="73"/>
      <c r="D1" s="73"/>
      <c r="E1" s="73"/>
    </row>
    <row r="2" ht="27" customHeight="1">
      <c r="E2" s="25" t="s">
        <v>78</v>
      </c>
    </row>
    <row r="3" spans="1:5" s="1" customFormat="1" ht="21" customHeight="1">
      <c r="A3" s="29" t="s">
        <v>0</v>
      </c>
      <c r="B3" s="27" t="s">
        <v>2</v>
      </c>
      <c r="C3" s="27" t="s">
        <v>435</v>
      </c>
      <c r="D3" s="59" t="s">
        <v>481</v>
      </c>
      <c r="E3" s="32" t="s">
        <v>52</v>
      </c>
    </row>
    <row r="4" spans="1:4" ht="21" customHeight="1">
      <c r="A4" t="s">
        <v>79</v>
      </c>
      <c r="B4" s="34"/>
      <c r="C4" s="34"/>
      <c r="D4" s="34"/>
    </row>
    <row r="5" spans="1:5" ht="21" customHeight="1">
      <c r="A5" t="s">
        <v>80</v>
      </c>
      <c r="B5" s="34">
        <v>400</v>
      </c>
      <c r="C5" s="34"/>
      <c r="D5" s="34"/>
      <c r="E5" s="4"/>
    </row>
    <row r="6" spans="1:5" ht="21" customHeight="1">
      <c r="A6" t="s">
        <v>81</v>
      </c>
      <c r="B6" s="34">
        <v>12</v>
      </c>
      <c r="C6" s="34">
        <v>80</v>
      </c>
      <c r="D6" s="50"/>
      <c r="E6" s="4">
        <f>(D6/C6-1)</f>
        <v>-1</v>
      </c>
    </row>
    <row r="7" spans="1:5" ht="21" customHeight="1">
      <c r="A7" t="s">
        <v>82</v>
      </c>
      <c r="B7" s="34">
        <v>334</v>
      </c>
      <c r="C7" s="34">
        <v>209</v>
      </c>
      <c r="D7" s="50">
        <v>188</v>
      </c>
      <c r="E7" s="4">
        <f>(D7/C7-1)</f>
        <v>-0.1004784688995215</v>
      </c>
    </row>
    <row r="8" spans="1:5" ht="21" customHeight="1">
      <c r="A8" t="s">
        <v>83</v>
      </c>
      <c r="B8" s="34"/>
      <c r="C8" s="34"/>
      <c r="D8" s="50"/>
      <c r="E8" s="4"/>
    </row>
    <row r="9" spans="1:5" ht="21" customHeight="1">
      <c r="A9" t="s">
        <v>84</v>
      </c>
      <c r="B9" s="34">
        <v>2135</v>
      </c>
      <c r="C9" s="34">
        <v>864</v>
      </c>
      <c r="D9" s="50">
        <f>103+2130+305</f>
        <v>2538</v>
      </c>
      <c r="E9" s="4">
        <f>(D9/C9-1)</f>
        <v>1.9375</v>
      </c>
    </row>
    <row r="10" spans="1:5" ht="21" customHeight="1">
      <c r="A10" t="s">
        <v>85</v>
      </c>
      <c r="B10" s="34">
        <v>1</v>
      </c>
      <c r="C10" s="34"/>
      <c r="D10" s="50">
        <v>1</v>
      </c>
      <c r="E10" s="4" t="e">
        <f>(D10/C10-1)</f>
        <v>#DIV/0!</v>
      </c>
    </row>
    <row r="11" spans="1:5" ht="21" customHeight="1">
      <c r="A11" t="s">
        <v>86</v>
      </c>
      <c r="B11" s="34"/>
      <c r="C11" s="34"/>
      <c r="D11" s="50"/>
      <c r="E11" s="4"/>
    </row>
    <row r="12" spans="1:5" ht="21" customHeight="1">
      <c r="A12" t="s">
        <v>87</v>
      </c>
      <c r="B12" s="34"/>
      <c r="C12" s="34"/>
      <c r="D12" s="50"/>
      <c r="E12" s="4"/>
    </row>
    <row r="13" spans="1:5" ht="21" customHeight="1">
      <c r="A13" t="s">
        <v>88</v>
      </c>
      <c r="B13" s="34"/>
      <c r="C13" s="34"/>
      <c r="D13" s="50"/>
      <c r="E13" s="4"/>
    </row>
    <row r="14" spans="1:5" ht="21" customHeight="1">
      <c r="A14" t="s">
        <v>89</v>
      </c>
      <c r="B14" s="34">
        <v>565</v>
      </c>
      <c r="C14" s="34">
        <v>575</v>
      </c>
      <c r="D14" s="50">
        <v>128</v>
      </c>
      <c r="E14" s="4">
        <f>(D14/C14-1)</f>
        <v>-0.7773913043478261</v>
      </c>
    </row>
    <row r="15" spans="2:5" ht="21" customHeight="1">
      <c r="B15" s="34"/>
      <c r="C15" s="34"/>
      <c r="D15" s="34"/>
      <c r="E15" s="4"/>
    </row>
    <row r="16" spans="1:5" ht="21" customHeight="1">
      <c r="A16" s="28" t="s">
        <v>410</v>
      </c>
      <c r="B16" s="35">
        <f>SUM(B4:B15)</f>
        <v>3447</v>
      </c>
      <c r="C16" s="35">
        <f>SUM(C4:C15)</f>
        <v>1728</v>
      </c>
      <c r="D16" s="35">
        <f>SUM(D4:D15)</f>
        <v>2855</v>
      </c>
      <c r="E16" s="48">
        <f>(D16/C16-1)</f>
        <v>0.6521990740740742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2">
      <selection activeCell="E30" sqref="E30"/>
    </sheetView>
  </sheetViews>
  <sheetFormatPr defaultColWidth="9.140625" defaultRowHeight="15"/>
  <cols>
    <col min="1" max="1" width="42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73" t="s">
        <v>486</v>
      </c>
      <c r="B1" s="73"/>
      <c r="C1" s="73"/>
      <c r="D1" s="73"/>
      <c r="E1" s="73"/>
    </row>
    <row r="2" ht="27" customHeight="1">
      <c r="E2" s="25" t="s">
        <v>78</v>
      </c>
    </row>
    <row r="3" spans="1:5" s="1" customFormat="1" ht="21" customHeight="1">
      <c r="A3" s="29" t="s">
        <v>0</v>
      </c>
      <c r="B3" s="27" t="s">
        <v>1</v>
      </c>
      <c r="C3" s="59" t="s">
        <v>487</v>
      </c>
      <c r="D3" s="59" t="s">
        <v>488</v>
      </c>
      <c r="E3" s="32" t="s">
        <v>52</v>
      </c>
    </row>
    <row r="4" spans="1:5" s="1" customFormat="1" ht="21" customHeight="1">
      <c r="A4" s="24" t="s">
        <v>5</v>
      </c>
      <c r="B4" s="52">
        <f>SUM(B5:B20)</f>
        <v>18448</v>
      </c>
      <c r="C4" s="52">
        <f>SUM(C5:C20)</f>
        <v>22851</v>
      </c>
      <c r="D4" s="52">
        <f>SUM(D5:D20)</f>
        <v>25897</v>
      </c>
      <c r="E4" s="6">
        <f>(D4/C4-1)</f>
        <v>0.13329832392455465</v>
      </c>
    </row>
    <row r="5" spans="1:5" ht="21" customHeight="1">
      <c r="A5" s="69" t="s">
        <v>509</v>
      </c>
      <c r="B5" s="34">
        <v>2964</v>
      </c>
      <c r="C5" s="34">
        <v>4713</v>
      </c>
      <c r="D5" s="34">
        <v>5820</v>
      </c>
      <c r="E5" s="4">
        <f aca="true" t="shared" si="0" ref="E5:E30">(D5/C5-1)</f>
        <v>0.23488224061107577</v>
      </c>
    </row>
    <row r="6" spans="1:5" ht="21" customHeight="1">
      <c r="A6" t="s">
        <v>9</v>
      </c>
      <c r="B6" s="34"/>
      <c r="C6" s="34">
        <v>2885</v>
      </c>
      <c r="D6" s="34">
        <v>9800</v>
      </c>
      <c r="E6" s="4">
        <f t="shared" si="0"/>
        <v>2.396880415944541</v>
      </c>
    </row>
    <row r="7" spans="1:5" ht="21" customHeight="1">
      <c r="A7" t="s">
        <v>11</v>
      </c>
      <c r="B7" s="34">
        <v>8983</v>
      </c>
      <c r="C7" s="34">
        <v>5360</v>
      </c>
      <c r="D7" s="34"/>
      <c r="E7" s="4">
        <f t="shared" si="0"/>
        <v>-1</v>
      </c>
    </row>
    <row r="8" spans="1:5" ht="21" customHeight="1">
      <c r="A8" t="s">
        <v>13</v>
      </c>
      <c r="B8" s="34">
        <v>1130</v>
      </c>
      <c r="C8" s="34">
        <f>200+1200+2</f>
        <v>1402</v>
      </c>
      <c r="D8" s="34">
        <v>1800</v>
      </c>
      <c r="E8" s="4">
        <f t="shared" si="0"/>
        <v>0.28388017118402287</v>
      </c>
    </row>
    <row r="9" spans="1:5" ht="21" customHeight="1">
      <c r="A9" t="s">
        <v>15</v>
      </c>
      <c r="B9" s="34"/>
      <c r="C9" s="34"/>
      <c r="D9" s="34"/>
      <c r="E9" s="4"/>
    </row>
    <row r="10" spans="1:5" ht="21" customHeight="1">
      <c r="A10" t="s">
        <v>17</v>
      </c>
      <c r="B10" s="34">
        <v>865</v>
      </c>
      <c r="C10" s="34">
        <v>1566</v>
      </c>
      <c r="D10" s="34">
        <v>2200</v>
      </c>
      <c r="E10" s="4">
        <f t="shared" si="0"/>
        <v>0.40485312899105996</v>
      </c>
    </row>
    <row r="11" spans="1:5" ht="21" customHeight="1">
      <c r="A11" t="s">
        <v>19</v>
      </c>
      <c r="B11" s="34">
        <v>2355</v>
      </c>
      <c r="C11" s="34">
        <f>1600-195</f>
        <v>1405</v>
      </c>
      <c r="D11" s="34">
        <f>3000</f>
        <v>3000</v>
      </c>
      <c r="E11" s="4">
        <f t="shared" si="0"/>
        <v>1.1352313167259784</v>
      </c>
    </row>
    <row r="12" spans="1:5" ht="21" customHeight="1">
      <c r="A12" t="s">
        <v>21</v>
      </c>
      <c r="B12" s="34"/>
      <c r="C12" s="34"/>
      <c r="D12" s="34"/>
      <c r="E12" s="4"/>
    </row>
    <row r="13" spans="1:5" ht="21" customHeight="1">
      <c r="A13" t="s">
        <v>23</v>
      </c>
      <c r="B13" s="34">
        <v>960</v>
      </c>
      <c r="C13" s="34">
        <v>1050</v>
      </c>
      <c r="D13" s="34">
        <v>1600</v>
      </c>
      <c r="E13" s="4">
        <f t="shared" si="0"/>
        <v>0.5238095238095237</v>
      </c>
    </row>
    <row r="14" spans="1:5" ht="21" customHeight="1">
      <c r="A14" t="s">
        <v>25</v>
      </c>
      <c r="B14" s="34">
        <v>57</v>
      </c>
      <c r="C14" s="34">
        <v>45</v>
      </c>
      <c r="D14" s="34">
        <v>47</v>
      </c>
      <c r="E14" s="4">
        <f t="shared" si="0"/>
        <v>0.04444444444444451</v>
      </c>
    </row>
    <row r="15" spans="1:5" ht="21" customHeight="1">
      <c r="A15" t="s">
        <v>27</v>
      </c>
      <c r="B15" s="34">
        <v>255</v>
      </c>
      <c r="C15" s="34">
        <v>195</v>
      </c>
      <c r="D15" s="34">
        <v>200</v>
      </c>
      <c r="E15" s="4">
        <f t="shared" si="0"/>
        <v>0.02564102564102555</v>
      </c>
    </row>
    <row r="16" spans="1:5" ht="21" customHeight="1">
      <c r="A16" t="s">
        <v>29</v>
      </c>
      <c r="B16" s="34">
        <v>23</v>
      </c>
      <c r="C16" s="34">
        <v>45</v>
      </c>
      <c r="D16" s="34">
        <v>50</v>
      </c>
      <c r="E16" s="4">
        <f t="shared" si="0"/>
        <v>0.11111111111111116</v>
      </c>
    </row>
    <row r="17" spans="1:5" ht="21" customHeight="1">
      <c r="A17" t="s">
        <v>31</v>
      </c>
      <c r="B17" s="34">
        <v>162</v>
      </c>
      <c r="C17" s="34">
        <v>120</v>
      </c>
      <c r="D17" s="34">
        <v>130</v>
      </c>
      <c r="E17" s="4">
        <f t="shared" si="0"/>
        <v>0.08333333333333326</v>
      </c>
    </row>
    <row r="18" spans="1:5" ht="21" customHeight="1">
      <c r="A18" t="s">
        <v>33</v>
      </c>
      <c r="B18" s="34">
        <v>195</v>
      </c>
      <c r="C18" s="34">
        <v>470</v>
      </c>
      <c r="D18" s="34">
        <v>490</v>
      </c>
      <c r="E18" s="4">
        <f t="shared" si="0"/>
        <v>0.042553191489361764</v>
      </c>
    </row>
    <row r="19" spans="1:5" ht="21" customHeight="1">
      <c r="A19" t="s">
        <v>35</v>
      </c>
      <c r="B19" s="34">
        <v>266</v>
      </c>
      <c r="C19" s="34">
        <v>3540</v>
      </c>
      <c r="D19" s="34">
        <v>700</v>
      </c>
      <c r="E19" s="4">
        <f t="shared" si="0"/>
        <v>-0.8022598870056497</v>
      </c>
    </row>
    <row r="20" spans="1:5" ht="21" customHeight="1">
      <c r="A20" t="s">
        <v>37</v>
      </c>
      <c r="B20" s="34">
        <v>233</v>
      </c>
      <c r="C20" s="34">
        <v>55</v>
      </c>
      <c r="D20" s="34">
        <v>60</v>
      </c>
      <c r="E20" s="4">
        <f t="shared" si="0"/>
        <v>0.09090909090909083</v>
      </c>
    </row>
    <row r="21" spans="2:5" ht="21" customHeight="1">
      <c r="B21" s="34"/>
      <c r="C21" s="34"/>
      <c r="D21" s="34"/>
      <c r="E21" s="4"/>
    </row>
    <row r="22" spans="1:5" ht="21" customHeight="1">
      <c r="A22" s="3" t="s">
        <v>406</v>
      </c>
      <c r="B22" s="33">
        <f>SUM(B23:B28)</f>
        <v>4566</v>
      </c>
      <c r="C22" s="33">
        <f>SUM(C23:C28)</f>
        <v>7549</v>
      </c>
      <c r="D22" s="33">
        <f>SUM(D23:D28)</f>
        <v>7243</v>
      </c>
      <c r="E22" s="5">
        <f t="shared" si="0"/>
        <v>-0.04053517022122133</v>
      </c>
    </row>
    <row r="23" spans="1:5" ht="21" customHeight="1">
      <c r="A23" t="s">
        <v>41</v>
      </c>
      <c r="B23" s="34">
        <v>549</v>
      </c>
      <c r="C23" s="34">
        <v>1192</v>
      </c>
      <c r="D23" s="34">
        <v>1200</v>
      </c>
      <c r="E23" s="4">
        <f t="shared" si="0"/>
        <v>0.006711409395973256</v>
      </c>
    </row>
    <row r="24" spans="1:5" ht="21" customHeight="1">
      <c r="A24" t="s">
        <v>43</v>
      </c>
      <c r="B24" s="34">
        <v>2185</v>
      </c>
      <c r="C24" s="34">
        <v>2887</v>
      </c>
      <c r="D24" s="34">
        <v>2600</v>
      </c>
      <c r="E24" s="4">
        <f t="shared" si="0"/>
        <v>-0.09941115344648421</v>
      </c>
    </row>
    <row r="25" spans="1:5" ht="21" customHeight="1">
      <c r="A25" t="s">
        <v>45</v>
      </c>
      <c r="B25" s="34">
        <v>597</v>
      </c>
      <c r="C25" s="34">
        <v>1200</v>
      </c>
      <c r="D25" s="34">
        <v>1260</v>
      </c>
      <c r="E25" s="4">
        <f t="shared" si="0"/>
        <v>0.050000000000000044</v>
      </c>
    </row>
    <row r="26" spans="1:5" ht="21" customHeight="1">
      <c r="A26" t="s">
        <v>47</v>
      </c>
      <c r="B26" s="34"/>
      <c r="C26" s="34"/>
      <c r="D26" s="34"/>
      <c r="E26" s="4"/>
    </row>
    <row r="27" spans="1:5" ht="21" customHeight="1">
      <c r="A27" t="s">
        <v>48</v>
      </c>
      <c r="B27" s="34">
        <v>1235</v>
      </c>
      <c r="C27" s="34">
        <v>2270</v>
      </c>
      <c r="D27" s="34">
        <v>2183</v>
      </c>
      <c r="E27" s="4">
        <f t="shared" si="0"/>
        <v>-0.038325991189427366</v>
      </c>
    </row>
    <row r="28" spans="1:5" ht="21" customHeight="1">
      <c r="A28" t="s">
        <v>50</v>
      </c>
      <c r="B28" s="34"/>
      <c r="C28" s="34"/>
      <c r="D28" s="34"/>
      <c r="E28" s="4" t="e">
        <f t="shared" si="0"/>
        <v>#DIV/0!</v>
      </c>
    </row>
    <row r="29" spans="2:5" ht="21" customHeight="1">
      <c r="B29" s="34"/>
      <c r="C29" s="34"/>
      <c r="D29" s="34"/>
      <c r="E29" s="4"/>
    </row>
    <row r="30" spans="1:5" ht="21" customHeight="1">
      <c r="A30" s="28" t="s">
        <v>51</v>
      </c>
      <c r="B30" s="35">
        <f>B4+B22</f>
        <v>23014</v>
      </c>
      <c r="C30" s="35">
        <f>C4+C22</f>
        <v>30400</v>
      </c>
      <c r="D30" s="35">
        <f>D4+D22</f>
        <v>33140</v>
      </c>
      <c r="E30" s="48">
        <f t="shared" si="0"/>
        <v>0.09013157894736845</v>
      </c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38.28125" style="0" bestFit="1" customWidth="1"/>
    <col min="2" max="2" width="16.421875" style="0" hidden="1" customWidth="1"/>
    <col min="3" max="4" width="15.140625" style="0" customWidth="1"/>
    <col min="5" max="5" width="15.00390625" style="0" customWidth="1"/>
  </cols>
  <sheetData>
    <row r="1" spans="1:5" ht="39.75" customHeight="1">
      <c r="A1" s="74" t="s">
        <v>489</v>
      </c>
      <c r="B1" s="74"/>
      <c r="C1" s="74"/>
      <c r="D1" s="74"/>
      <c r="E1" s="74"/>
    </row>
    <row r="2" ht="27" customHeight="1">
      <c r="E2" s="25" t="s">
        <v>53</v>
      </c>
    </row>
    <row r="3" spans="1:5" s="1" customFormat="1" ht="21" customHeight="1">
      <c r="A3" s="29" t="s">
        <v>0</v>
      </c>
      <c r="B3" s="27" t="s">
        <v>1</v>
      </c>
      <c r="C3" s="59" t="s">
        <v>481</v>
      </c>
      <c r="D3" s="59" t="s">
        <v>488</v>
      </c>
      <c r="E3" s="51" t="s">
        <v>52</v>
      </c>
    </row>
    <row r="4" spans="1:5" ht="21" customHeight="1">
      <c r="A4" t="s">
        <v>54</v>
      </c>
      <c r="B4" s="34">
        <v>33979</v>
      </c>
      <c r="C4" s="34">
        <v>53003</v>
      </c>
      <c r="D4" s="34">
        <f>54230+3000</f>
        <v>57230</v>
      </c>
      <c r="E4" s="23">
        <f>D4/C4-1</f>
        <v>0.07975020281870848</v>
      </c>
    </row>
    <row r="5" spans="1:5" ht="21" customHeight="1">
      <c r="A5" t="s">
        <v>55</v>
      </c>
      <c r="B5" s="34"/>
      <c r="C5" s="34"/>
      <c r="D5" s="34"/>
      <c r="E5" s="23"/>
    </row>
    <row r="6" spans="1:5" ht="21" customHeight="1">
      <c r="A6" t="s">
        <v>56</v>
      </c>
      <c r="B6" s="34"/>
      <c r="C6" s="34"/>
      <c r="D6" s="34"/>
      <c r="E6" s="23"/>
    </row>
    <row r="7" spans="1:5" ht="21" customHeight="1">
      <c r="A7" t="s">
        <v>57</v>
      </c>
      <c r="B7" s="34">
        <v>15112</v>
      </c>
      <c r="C7" s="34">
        <v>23203</v>
      </c>
      <c r="D7" s="34">
        <f>25326+200</f>
        <v>25526</v>
      </c>
      <c r="E7" s="23">
        <f aca="true" t="shared" si="0" ref="E7:E28">D7/C7-1</f>
        <v>0.10011636426324189</v>
      </c>
    </row>
    <row r="8" spans="1:5" ht="21" customHeight="1">
      <c r="A8" t="s">
        <v>58</v>
      </c>
      <c r="B8" s="34">
        <v>67182</v>
      </c>
      <c r="C8" s="34">
        <v>101589</v>
      </c>
      <c r="D8" s="34">
        <f>110957-1474+4474</f>
        <v>113957</v>
      </c>
      <c r="E8" s="23">
        <f t="shared" si="0"/>
        <v>0.12174546456801427</v>
      </c>
    </row>
    <row r="9" spans="1:5" ht="21" customHeight="1">
      <c r="A9" t="s">
        <v>59</v>
      </c>
      <c r="B9" s="34">
        <v>205</v>
      </c>
      <c r="C9" s="34">
        <v>441</v>
      </c>
      <c r="D9" s="34">
        <v>480</v>
      </c>
      <c r="E9" s="23">
        <f t="shared" si="0"/>
        <v>0.08843537414965996</v>
      </c>
    </row>
    <row r="10" spans="1:5" ht="21" customHeight="1">
      <c r="A10" t="s">
        <v>60</v>
      </c>
      <c r="B10" s="34">
        <v>3043</v>
      </c>
      <c r="C10" s="34">
        <v>4189</v>
      </c>
      <c r="D10" s="34">
        <v>4525</v>
      </c>
      <c r="E10" s="23">
        <f t="shared" si="0"/>
        <v>0.08021007400334201</v>
      </c>
    </row>
    <row r="11" spans="1:5" ht="21" customHeight="1">
      <c r="A11" t="s">
        <v>61</v>
      </c>
      <c r="B11" s="34">
        <v>13441</v>
      </c>
      <c r="C11" s="34">
        <v>29844</v>
      </c>
      <c r="D11" s="34">
        <f>32057+1000</f>
        <v>33057</v>
      </c>
      <c r="E11" s="23">
        <f t="shared" si="0"/>
        <v>0.10765983112183353</v>
      </c>
    </row>
    <row r="12" spans="1:5" ht="21" customHeight="1">
      <c r="A12" t="s">
        <v>62</v>
      </c>
      <c r="B12" s="34">
        <v>20102</v>
      </c>
      <c r="C12" s="34">
        <v>32812</v>
      </c>
      <c r="D12" s="34">
        <f>34689+1000</f>
        <v>35689</v>
      </c>
      <c r="E12" s="23">
        <f t="shared" si="0"/>
        <v>0.08768133609655004</v>
      </c>
    </row>
    <row r="13" spans="1:5" ht="21" customHeight="1">
      <c r="A13" t="s">
        <v>63</v>
      </c>
      <c r="B13" s="34">
        <v>5254</v>
      </c>
      <c r="C13" s="34">
        <v>5674</v>
      </c>
      <c r="D13" s="34">
        <f>5967+300</f>
        <v>6267</v>
      </c>
      <c r="E13" s="23">
        <f t="shared" si="0"/>
        <v>0.10451180824814954</v>
      </c>
    </row>
    <row r="14" spans="1:5" ht="21" customHeight="1">
      <c r="A14" t="s">
        <v>64</v>
      </c>
      <c r="B14" s="34">
        <v>3135</v>
      </c>
      <c r="C14" s="34">
        <v>5531</v>
      </c>
      <c r="D14" s="34">
        <v>6065</v>
      </c>
      <c r="E14" s="23">
        <f t="shared" si="0"/>
        <v>0.09654673657566448</v>
      </c>
    </row>
    <row r="15" spans="1:5" ht="21" customHeight="1">
      <c r="A15" t="s">
        <v>65</v>
      </c>
      <c r="B15" s="34">
        <v>43831</v>
      </c>
      <c r="C15" s="34">
        <v>50709</v>
      </c>
      <c r="D15" s="34">
        <f>53683+2000</f>
        <v>55683</v>
      </c>
      <c r="E15" s="23">
        <f t="shared" si="0"/>
        <v>0.09808909661006915</v>
      </c>
    </row>
    <row r="16" spans="1:5" ht="21" customHeight="1">
      <c r="A16" t="s">
        <v>66</v>
      </c>
      <c r="B16" s="34">
        <v>1633</v>
      </c>
      <c r="C16" s="34">
        <v>715</v>
      </c>
      <c r="D16" s="34">
        <f>759+30</f>
        <v>789</v>
      </c>
      <c r="E16" s="23">
        <f t="shared" si="0"/>
        <v>0.10349650349650341</v>
      </c>
    </row>
    <row r="17" spans="1:5" ht="21" customHeight="1">
      <c r="A17" t="s">
        <v>67</v>
      </c>
      <c r="B17" s="34">
        <v>304</v>
      </c>
      <c r="C17" s="34">
        <v>5638</v>
      </c>
      <c r="D17" s="34">
        <f>5961+100</f>
        <v>6061</v>
      </c>
      <c r="E17" s="23">
        <f t="shared" si="0"/>
        <v>0.0750266051791415</v>
      </c>
    </row>
    <row r="18" spans="1:5" ht="21" customHeight="1">
      <c r="A18" t="s">
        <v>68</v>
      </c>
      <c r="B18" s="34">
        <v>1095</v>
      </c>
      <c r="C18" s="34">
        <v>3203</v>
      </c>
      <c r="D18" s="34">
        <f>3416+100</f>
        <v>3516</v>
      </c>
      <c r="E18" s="23">
        <f t="shared" si="0"/>
        <v>0.09772088666874801</v>
      </c>
    </row>
    <row r="19" spans="1:5" ht="21" customHeight="1">
      <c r="A19" t="s">
        <v>69</v>
      </c>
      <c r="B19" s="34"/>
      <c r="C19" s="34"/>
      <c r="D19" s="34"/>
      <c r="E19" s="23"/>
    </row>
    <row r="20" spans="1:5" ht="21" customHeight="1">
      <c r="A20" t="s">
        <v>70</v>
      </c>
      <c r="B20" s="34"/>
      <c r="C20" s="34"/>
      <c r="D20" s="34"/>
      <c r="E20" s="23"/>
    </row>
    <row r="21" spans="1:5" ht="21" customHeight="1">
      <c r="A21" t="s">
        <v>71</v>
      </c>
      <c r="B21" s="34">
        <v>1657</v>
      </c>
      <c r="C21" s="34">
        <v>1080</v>
      </c>
      <c r="D21" s="34">
        <v>1167</v>
      </c>
      <c r="E21" s="23">
        <f t="shared" si="0"/>
        <v>0.08055555555555549</v>
      </c>
    </row>
    <row r="22" spans="1:5" ht="21" customHeight="1">
      <c r="A22" t="s">
        <v>72</v>
      </c>
      <c r="B22" s="34">
        <v>25438</v>
      </c>
      <c r="C22" s="34">
        <v>34838</v>
      </c>
      <c r="D22" s="34">
        <f>35000+2578</f>
        <v>37578</v>
      </c>
      <c r="E22" s="23">
        <f t="shared" si="0"/>
        <v>0.07864975027269083</v>
      </c>
    </row>
    <row r="23" spans="1:5" ht="21" customHeight="1">
      <c r="A23" t="s">
        <v>73</v>
      </c>
      <c r="B23" s="34">
        <v>432</v>
      </c>
      <c r="C23" s="34">
        <v>860</v>
      </c>
      <c r="D23" s="34">
        <v>943</v>
      </c>
      <c r="E23" s="23">
        <f t="shared" si="0"/>
        <v>0.09651162790697665</v>
      </c>
    </row>
    <row r="24" spans="1:5" ht="21" customHeight="1">
      <c r="A24" t="s">
        <v>74</v>
      </c>
      <c r="B24" s="34"/>
      <c r="C24" s="34"/>
      <c r="D24" s="34"/>
      <c r="E24" s="23"/>
    </row>
    <row r="25" spans="1:5" ht="21" customHeight="1">
      <c r="A25" t="s">
        <v>75</v>
      </c>
      <c r="B25" s="34"/>
      <c r="C25" s="34">
        <v>914</v>
      </c>
      <c r="D25" s="34">
        <v>2089</v>
      </c>
      <c r="E25" s="23"/>
    </row>
    <row r="26" spans="1:5" ht="21" customHeight="1">
      <c r="A26" t="s">
        <v>76</v>
      </c>
      <c r="B26" s="34">
        <v>1101</v>
      </c>
      <c r="C26" s="34">
        <v>1738</v>
      </c>
      <c r="D26" s="34">
        <v>1500</v>
      </c>
      <c r="E26" s="23">
        <f t="shared" si="0"/>
        <v>-0.13693901035673184</v>
      </c>
    </row>
    <row r="27" spans="2:5" ht="21" customHeight="1">
      <c r="B27" s="34"/>
      <c r="C27" s="34"/>
      <c r="D27" s="34"/>
      <c r="E27" s="23"/>
    </row>
    <row r="28" spans="1:5" ht="21" customHeight="1">
      <c r="A28" s="28" t="s">
        <v>77</v>
      </c>
      <c r="B28" s="35">
        <f>SUM(B4:B27)</f>
        <v>236944</v>
      </c>
      <c r="C28" s="35">
        <f>SUM(C4:C27)</f>
        <v>355981</v>
      </c>
      <c r="D28" s="35">
        <f>SUM(D4:D27)</f>
        <v>392122</v>
      </c>
      <c r="E28" s="48">
        <f t="shared" si="0"/>
        <v>0.10152508139479344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3">
      <selection activeCell="E23" sqref="A1:E23"/>
    </sheetView>
  </sheetViews>
  <sheetFormatPr defaultColWidth="9.140625" defaultRowHeight="15"/>
  <cols>
    <col min="1" max="1" width="42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73" t="s">
        <v>490</v>
      </c>
      <c r="B1" s="73"/>
      <c r="C1" s="73"/>
      <c r="D1" s="73"/>
      <c r="E1" s="73"/>
    </row>
    <row r="2" ht="27" customHeight="1">
      <c r="E2" s="25" t="s">
        <v>53</v>
      </c>
    </row>
    <row r="3" spans="1:5" s="1" customFormat="1" ht="21" customHeight="1">
      <c r="A3" s="29" t="s">
        <v>0</v>
      </c>
      <c r="B3" s="29" t="s">
        <v>1</v>
      </c>
      <c r="C3" s="59" t="s">
        <v>481</v>
      </c>
      <c r="D3" s="59" t="s">
        <v>488</v>
      </c>
      <c r="E3" s="32" t="s">
        <v>52</v>
      </c>
    </row>
    <row r="4" spans="1:4" ht="21" customHeight="1">
      <c r="A4" t="s">
        <v>437</v>
      </c>
      <c r="B4" s="30"/>
      <c r="C4" s="34"/>
      <c r="D4" s="34"/>
    </row>
    <row r="5" spans="1:4" ht="21" customHeight="1">
      <c r="A5" t="s">
        <v>438</v>
      </c>
      <c r="B5" s="30"/>
      <c r="C5" s="34"/>
      <c r="D5" s="34"/>
    </row>
    <row r="6" spans="1:4" ht="21" customHeight="1">
      <c r="A6" t="s">
        <v>439</v>
      </c>
      <c r="B6" s="30"/>
      <c r="C6" s="34"/>
      <c r="D6" s="34"/>
    </row>
    <row r="7" spans="1:5" ht="21" customHeight="1">
      <c r="A7" t="s">
        <v>440</v>
      </c>
      <c r="B7" s="30"/>
      <c r="C7" s="34"/>
      <c r="D7" s="34"/>
      <c r="E7" s="23"/>
    </row>
    <row r="8" spans="1:5" ht="21" customHeight="1">
      <c r="A8" t="s">
        <v>441</v>
      </c>
      <c r="B8" s="30">
        <v>1225</v>
      </c>
      <c r="C8" s="34">
        <v>2442</v>
      </c>
      <c r="D8" s="34">
        <v>1300</v>
      </c>
      <c r="E8" s="23">
        <f>D8/C8-1</f>
        <v>-0.4676494676494677</v>
      </c>
    </row>
    <row r="9" spans="1:5" ht="21" customHeight="1">
      <c r="A9" t="s">
        <v>442</v>
      </c>
      <c r="B9" s="30">
        <v>2</v>
      </c>
      <c r="C9" s="34"/>
      <c r="D9" s="34"/>
      <c r="E9" s="23"/>
    </row>
    <row r="10" spans="1:5" ht="21" customHeight="1">
      <c r="A10" t="s">
        <v>443</v>
      </c>
      <c r="B10" s="30"/>
      <c r="C10" s="34"/>
      <c r="D10" s="34"/>
      <c r="E10" s="23"/>
    </row>
    <row r="11" spans="1:5" ht="21" customHeight="1">
      <c r="A11" t="s">
        <v>444</v>
      </c>
      <c r="B11" s="30">
        <v>17</v>
      </c>
      <c r="C11" s="34"/>
      <c r="D11" s="34"/>
      <c r="E11" s="23"/>
    </row>
    <row r="12" spans="1:4" ht="21" customHeight="1">
      <c r="A12" t="s">
        <v>445</v>
      </c>
      <c r="B12" s="30"/>
      <c r="C12" s="34"/>
      <c r="D12" s="34"/>
    </row>
    <row r="13" spans="1:4" ht="21" customHeight="1">
      <c r="A13" t="s">
        <v>446</v>
      </c>
      <c r="B13" s="30"/>
      <c r="C13" s="34"/>
      <c r="D13" s="34"/>
    </row>
    <row r="14" spans="1:4" ht="21" customHeight="1">
      <c r="A14" t="s">
        <v>447</v>
      </c>
      <c r="B14" s="30"/>
      <c r="C14" s="34"/>
      <c r="D14" s="34"/>
    </row>
    <row r="15" spans="1:4" ht="21" customHeight="1">
      <c r="A15" t="s">
        <v>448</v>
      </c>
      <c r="B15" s="30"/>
      <c r="C15" s="34"/>
      <c r="D15" s="34"/>
    </row>
    <row r="16" spans="1:4" ht="21" customHeight="1">
      <c r="A16" t="s">
        <v>449</v>
      </c>
      <c r="B16" s="30"/>
      <c r="C16" s="34"/>
      <c r="D16" s="34"/>
    </row>
    <row r="17" spans="1:4" ht="21" customHeight="1">
      <c r="A17" t="s">
        <v>450</v>
      </c>
      <c r="B17" s="30"/>
      <c r="C17" s="34"/>
      <c r="D17" s="34"/>
    </row>
    <row r="18" spans="1:4" ht="21" customHeight="1">
      <c r="A18" t="s">
        <v>451</v>
      </c>
      <c r="B18" s="30"/>
      <c r="C18" s="34"/>
      <c r="D18" s="34"/>
    </row>
    <row r="19" spans="1:4" ht="21" customHeight="1">
      <c r="A19" t="s">
        <v>452</v>
      </c>
      <c r="B19" s="30"/>
      <c r="C19" s="34"/>
      <c r="D19" s="34"/>
    </row>
    <row r="20" spans="1:4" ht="21" customHeight="1">
      <c r="A20" t="s">
        <v>453</v>
      </c>
      <c r="B20" s="30"/>
      <c r="C20" s="34"/>
      <c r="D20" s="34"/>
    </row>
    <row r="21" spans="1:4" ht="21" customHeight="1">
      <c r="A21" t="s">
        <v>454</v>
      </c>
      <c r="B21" s="30"/>
      <c r="C21" s="34"/>
      <c r="D21" s="34"/>
    </row>
    <row r="22" spans="2:4" ht="21" customHeight="1">
      <c r="B22" s="30"/>
      <c r="C22" s="34"/>
      <c r="D22" s="34"/>
    </row>
    <row r="23" spans="1:5" ht="21" customHeight="1">
      <c r="A23" s="28" t="s">
        <v>408</v>
      </c>
      <c r="B23" s="31">
        <f>SUM(B4:B22)</f>
        <v>1244</v>
      </c>
      <c r="C23" s="35">
        <f>SUM(C4:C22)</f>
        <v>2442</v>
      </c>
      <c r="D23" s="35">
        <f>SUM(D4:D22)</f>
        <v>1300</v>
      </c>
      <c r="E23" s="48">
        <f>D23/C23-1</f>
        <v>-0.4676494676494677</v>
      </c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7" sqref="A1:E17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73" t="s">
        <v>491</v>
      </c>
      <c r="B1" s="73"/>
      <c r="C1" s="73"/>
      <c r="D1" s="73"/>
      <c r="E1" s="73"/>
    </row>
    <row r="2" spans="1:5" ht="27" customHeight="1">
      <c r="A2" s="21"/>
      <c r="B2" s="21"/>
      <c r="C2" s="21"/>
      <c r="D2" s="21"/>
      <c r="E2" s="26" t="s">
        <v>395</v>
      </c>
    </row>
    <row r="3" spans="1:5" s="1" customFormat="1" ht="21" customHeight="1">
      <c r="A3" s="47" t="s">
        <v>94</v>
      </c>
      <c r="B3" s="47" t="s">
        <v>1</v>
      </c>
      <c r="C3" s="68" t="s">
        <v>492</v>
      </c>
      <c r="D3" s="68" t="s">
        <v>493</v>
      </c>
      <c r="E3" s="47" t="s">
        <v>396</v>
      </c>
    </row>
    <row r="4" spans="1:5" ht="21" customHeight="1">
      <c r="A4" s="22" t="s">
        <v>397</v>
      </c>
      <c r="B4" s="49"/>
      <c r="C4" s="49"/>
      <c r="D4" s="49"/>
      <c r="E4" s="22"/>
    </row>
    <row r="5" spans="1:5" ht="21" customHeight="1">
      <c r="A5" s="22" t="s">
        <v>398</v>
      </c>
      <c r="B5" s="50">
        <f>366+100</f>
        <v>466</v>
      </c>
      <c r="C5" s="50"/>
      <c r="D5" s="50"/>
      <c r="E5" s="23"/>
    </row>
    <row r="6" spans="1:5" ht="21" customHeight="1">
      <c r="A6" s="22" t="s">
        <v>399</v>
      </c>
      <c r="B6" s="50">
        <v>24</v>
      </c>
      <c r="C6" s="50"/>
      <c r="D6" s="50"/>
      <c r="E6" s="23" t="e">
        <f>D6/C6-1</f>
        <v>#DIV/0!</v>
      </c>
    </row>
    <row r="7" spans="1:5" ht="21" customHeight="1">
      <c r="A7" s="22" t="s">
        <v>400</v>
      </c>
      <c r="B7" s="50">
        <v>417</v>
      </c>
      <c r="C7" s="50">
        <v>188</v>
      </c>
      <c r="D7" s="50">
        <v>200</v>
      </c>
      <c r="E7" s="23">
        <f>D7/C7-1</f>
        <v>0.06382978723404253</v>
      </c>
    </row>
    <row r="8" spans="1:5" ht="21" customHeight="1">
      <c r="A8" s="22" t="s">
        <v>401</v>
      </c>
      <c r="B8" s="50"/>
      <c r="C8" s="50"/>
      <c r="D8" s="50"/>
      <c r="E8" s="23"/>
    </row>
    <row r="9" spans="1:5" ht="21" customHeight="1">
      <c r="A9" s="22" t="s">
        <v>402</v>
      </c>
      <c r="B9" s="50">
        <f>3691+230</f>
        <v>3921</v>
      </c>
      <c r="C9" s="50">
        <v>2538</v>
      </c>
      <c r="D9" s="50">
        <v>1400</v>
      </c>
      <c r="E9" s="23">
        <f>D9/C9-1</f>
        <v>-0.44838455476753347</v>
      </c>
    </row>
    <row r="10" spans="1:5" ht="21" customHeight="1">
      <c r="A10" s="22" t="s">
        <v>403</v>
      </c>
      <c r="B10" s="50">
        <v>102</v>
      </c>
      <c r="C10" s="50">
        <v>1</v>
      </c>
      <c r="D10" s="50">
        <v>20</v>
      </c>
      <c r="E10" s="23">
        <f>D10/C10-1</f>
        <v>19</v>
      </c>
    </row>
    <row r="11" spans="1:5" ht="21" customHeight="1">
      <c r="A11" s="22" t="s">
        <v>404</v>
      </c>
      <c r="B11" s="50"/>
      <c r="C11" s="50"/>
      <c r="D11" s="50"/>
      <c r="E11" s="23"/>
    </row>
    <row r="12" spans="1:5" ht="21" customHeight="1">
      <c r="A12" s="22" t="s">
        <v>87</v>
      </c>
      <c r="B12" s="50"/>
      <c r="C12" s="50"/>
      <c r="D12" s="50"/>
      <c r="E12" s="23"/>
    </row>
    <row r="13" spans="1:5" ht="21" customHeight="1">
      <c r="A13" s="22" t="s">
        <v>88</v>
      </c>
      <c r="B13" s="50"/>
      <c r="C13" s="50"/>
      <c r="D13" s="50"/>
      <c r="E13" s="23"/>
    </row>
    <row r="14" spans="1:5" ht="21" customHeight="1">
      <c r="A14" s="22" t="s">
        <v>89</v>
      </c>
      <c r="B14" s="50">
        <v>968</v>
      </c>
      <c r="C14" s="50">
        <v>128</v>
      </c>
      <c r="D14" s="50">
        <v>100</v>
      </c>
      <c r="E14" s="23">
        <f>D14/C14-1</f>
        <v>-0.21875</v>
      </c>
    </row>
    <row r="15" spans="1:5" ht="21" customHeight="1">
      <c r="A15" s="22"/>
      <c r="B15" s="50"/>
      <c r="C15" s="50"/>
      <c r="D15" s="50"/>
      <c r="E15" s="23"/>
    </row>
    <row r="16" spans="1:5" ht="21" customHeight="1">
      <c r="A16" s="22"/>
      <c r="B16" s="50"/>
      <c r="C16" s="50"/>
      <c r="D16" s="50"/>
      <c r="E16" s="23"/>
    </row>
    <row r="17" spans="1:5" ht="21" customHeight="1">
      <c r="A17" s="28" t="s">
        <v>409</v>
      </c>
      <c r="B17" s="35">
        <f>SUM(B5:B16)</f>
        <v>5898</v>
      </c>
      <c r="C17" s="35">
        <f>SUM(C5:C16)</f>
        <v>2855</v>
      </c>
      <c r="D17" s="35">
        <f>SUM(D5:D16)</f>
        <v>1720</v>
      </c>
      <c r="E17" s="48">
        <f>D17/C17-1</f>
        <v>-0.3975481611208407</v>
      </c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3"/>
  <sheetViews>
    <sheetView tabSelected="1" zoomScalePageLayoutView="0" workbookViewId="0" topLeftCell="A1">
      <pane xSplit="2" ySplit="4" topLeftCell="C329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B334" sqref="B334"/>
    </sheetView>
  </sheetViews>
  <sheetFormatPr defaultColWidth="9.140625" defaultRowHeight="15"/>
  <cols>
    <col min="1" max="1" width="26.00390625" style="0" customWidth="1"/>
    <col min="2" max="2" width="8.421875" style="0" bestFit="1" customWidth="1"/>
    <col min="3" max="3" width="34.28125" style="0" customWidth="1"/>
    <col min="4" max="4" width="16.00390625" style="0" customWidth="1"/>
    <col min="5" max="5" width="11.00390625" style="0" bestFit="1" customWidth="1"/>
  </cols>
  <sheetData>
    <row r="1" spans="1:5" ht="39.75" customHeight="1">
      <c r="A1" s="73" t="s">
        <v>494</v>
      </c>
      <c r="B1" s="73"/>
      <c r="C1" s="73"/>
      <c r="D1" s="73"/>
      <c r="E1" s="73"/>
    </row>
    <row r="2" ht="27" customHeight="1">
      <c r="E2" s="25" t="s">
        <v>78</v>
      </c>
    </row>
    <row r="3" spans="1:5" ht="18.75" customHeight="1">
      <c r="A3" s="75" t="s">
        <v>90</v>
      </c>
      <c r="B3" s="75"/>
      <c r="C3" s="75" t="s">
        <v>91</v>
      </c>
      <c r="D3" s="75"/>
      <c r="E3" s="75" t="s">
        <v>92</v>
      </c>
    </row>
    <row r="4" spans="1:5" s="8" customFormat="1" ht="18.75" customHeight="1">
      <c r="A4" s="36" t="s">
        <v>94</v>
      </c>
      <c r="B4" s="9" t="s">
        <v>95</v>
      </c>
      <c r="C4" s="37" t="s">
        <v>94</v>
      </c>
      <c r="D4" s="9" t="s">
        <v>95</v>
      </c>
      <c r="E4" s="76"/>
    </row>
    <row r="5" spans="1:6" s="7" customFormat="1" ht="18.75" customHeight="1">
      <c r="A5" s="38" t="s">
        <v>4</v>
      </c>
      <c r="B5" s="39">
        <f>SUM(B6:B21)</f>
        <v>25897</v>
      </c>
      <c r="C5" s="38" t="s">
        <v>374</v>
      </c>
      <c r="D5" s="39">
        <f>D6+D9+D11+D14+D16+D19+D22+D24+D27+D29+D32+D34+D37+D39+D42+D44+D46+D48</f>
        <v>57230</v>
      </c>
      <c r="E5" s="38"/>
      <c r="F5" s="38"/>
    </row>
    <row r="6" spans="1:4" s="7" customFormat="1" ht="18.75" customHeight="1">
      <c r="A6" s="7" t="s">
        <v>6</v>
      </c>
      <c r="B6" s="40">
        <v>5820</v>
      </c>
      <c r="C6" s="7" t="s">
        <v>96</v>
      </c>
      <c r="D6" s="40">
        <f>SUM(D7:D8)</f>
        <v>612</v>
      </c>
    </row>
    <row r="7" spans="1:4" s="7" customFormat="1" ht="18.75" customHeight="1">
      <c r="A7" s="7" t="s">
        <v>8</v>
      </c>
      <c r="B7" s="40">
        <v>9800</v>
      </c>
      <c r="C7" s="7" t="s">
        <v>97</v>
      </c>
      <c r="D7" s="40">
        <v>605</v>
      </c>
    </row>
    <row r="8" spans="1:4" s="7" customFormat="1" ht="18.75" customHeight="1">
      <c r="A8" s="7" t="s">
        <v>10</v>
      </c>
      <c r="B8" s="40"/>
      <c r="C8" s="7" t="s">
        <v>100</v>
      </c>
      <c r="D8" s="40">
        <v>7</v>
      </c>
    </row>
    <row r="9" spans="1:4" s="7" customFormat="1" ht="18.75" customHeight="1">
      <c r="A9" s="7" t="s">
        <v>12</v>
      </c>
      <c r="B9" s="40">
        <f>1700+100</f>
        <v>1800</v>
      </c>
      <c r="C9" s="7" t="s">
        <v>101</v>
      </c>
      <c r="D9" s="40">
        <f>D10</f>
        <v>587</v>
      </c>
    </row>
    <row r="10" spans="1:4" s="7" customFormat="1" ht="18.75" customHeight="1">
      <c r="A10" s="7" t="s">
        <v>14</v>
      </c>
      <c r="B10" s="40"/>
      <c r="C10" s="7" t="s">
        <v>97</v>
      </c>
      <c r="D10" s="40">
        <v>587</v>
      </c>
    </row>
    <row r="11" spans="1:4" s="7" customFormat="1" ht="18.75" customHeight="1">
      <c r="A11" s="7" t="s">
        <v>16</v>
      </c>
      <c r="B11" s="40">
        <v>2200</v>
      </c>
      <c r="C11" s="7" t="s">
        <v>102</v>
      </c>
      <c r="D11" s="40">
        <f>SUM(D12:D13)</f>
        <v>24901</v>
      </c>
    </row>
    <row r="12" spans="1:4" s="7" customFormat="1" ht="18.75" customHeight="1">
      <c r="A12" s="7" t="s">
        <v>18</v>
      </c>
      <c r="B12" s="40">
        <f>2500+500</f>
        <v>3000</v>
      </c>
      <c r="C12" s="7" t="s">
        <v>97</v>
      </c>
      <c r="D12" s="40">
        <f>23901+1000</f>
        <v>24901</v>
      </c>
    </row>
    <row r="13" spans="1:4" s="7" customFormat="1" ht="27">
      <c r="A13" s="7" t="s">
        <v>20</v>
      </c>
      <c r="B13" s="40"/>
      <c r="C13" s="7" t="s">
        <v>103</v>
      </c>
      <c r="D13" s="40"/>
    </row>
    <row r="14" spans="1:4" s="7" customFormat="1" ht="18.75" customHeight="1">
      <c r="A14" s="7" t="s">
        <v>22</v>
      </c>
      <c r="B14" s="40">
        <f>1460+140</f>
        <v>1600</v>
      </c>
      <c r="C14" s="7" t="s">
        <v>104</v>
      </c>
      <c r="D14" s="40">
        <f>D15</f>
        <v>598</v>
      </c>
    </row>
    <row r="15" spans="1:4" s="7" customFormat="1" ht="18.75" customHeight="1">
      <c r="A15" s="7" t="s">
        <v>24</v>
      </c>
      <c r="B15" s="40">
        <v>47</v>
      </c>
      <c r="C15" s="7" t="s">
        <v>97</v>
      </c>
      <c r="D15" s="40">
        <v>598</v>
      </c>
    </row>
    <row r="16" spans="1:4" s="7" customFormat="1" ht="18.75" customHeight="1">
      <c r="A16" s="7" t="s">
        <v>26</v>
      </c>
      <c r="B16" s="40">
        <v>200</v>
      </c>
      <c r="C16" s="7" t="s">
        <v>105</v>
      </c>
      <c r="D16" s="40">
        <f>SUM(D17:D18)</f>
        <v>253</v>
      </c>
    </row>
    <row r="17" spans="1:4" s="7" customFormat="1" ht="18.75" customHeight="1">
      <c r="A17" s="7" t="s">
        <v>28</v>
      </c>
      <c r="B17" s="40">
        <v>50</v>
      </c>
      <c r="C17" s="7" t="s">
        <v>97</v>
      </c>
      <c r="D17" s="40">
        <v>239</v>
      </c>
    </row>
    <row r="18" spans="1:4" s="7" customFormat="1" ht="18.75" customHeight="1">
      <c r="A18" s="7" t="s">
        <v>30</v>
      </c>
      <c r="B18" s="40">
        <v>130</v>
      </c>
      <c r="C18" s="7" t="s">
        <v>106</v>
      </c>
      <c r="D18" s="40">
        <v>14</v>
      </c>
    </row>
    <row r="19" spans="1:4" s="7" customFormat="1" ht="18.75" customHeight="1">
      <c r="A19" s="7" t="s">
        <v>32</v>
      </c>
      <c r="B19" s="40">
        <v>490</v>
      </c>
      <c r="C19" s="7" t="s">
        <v>107</v>
      </c>
      <c r="D19" s="40">
        <f>SUM(D20:D21)</f>
        <v>2511</v>
      </c>
    </row>
    <row r="20" spans="1:4" s="7" customFormat="1" ht="18.75" customHeight="1">
      <c r="A20" s="7" t="s">
        <v>34</v>
      </c>
      <c r="B20" s="40">
        <v>700</v>
      </c>
      <c r="C20" s="7" t="s">
        <v>97</v>
      </c>
      <c r="D20" s="40">
        <f>2295+200</f>
        <v>2495</v>
      </c>
    </row>
    <row r="21" spans="1:4" s="7" customFormat="1" ht="18.75" customHeight="1">
      <c r="A21" s="7" t="s">
        <v>36</v>
      </c>
      <c r="B21" s="40">
        <v>60</v>
      </c>
      <c r="C21" s="7" t="s">
        <v>108</v>
      </c>
      <c r="D21" s="40">
        <v>16</v>
      </c>
    </row>
    <row r="22" spans="2:4" s="7" customFormat="1" ht="18.75" customHeight="1">
      <c r="B22" s="40"/>
      <c r="C22" s="7" t="s">
        <v>109</v>
      </c>
      <c r="D22" s="40">
        <f>D23</f>
        <v>160</v>
      </c>
    </row>
    <row r="23" spans="1:4" s="7" customFormat="1" ht="18.75" customHeight="1">
      <c r="A23" s="38" t="s">
        <v>38</v>
      </c>
      <c r="B23" s="39">
        <f>SUM(B24:B29)</f>
        <v>7243</v>
      </c>
      <c r="C23" s="7" t="s">
        <v>97</v>
      </c>
      <c r="D23" s="40">
        <v>160</v>
      </c>
    </row>
    <row r="24" spans="1:4" s="7" customFormat="1" ht="18.75" customHeight="1">
      <c r="A24" s="7" t="s">
        <v>40</v>
      </c>
      <c r="B24" s="40">
        <v>1200</v>
      </c>
      <c r="C24" s="7" t="s">
        <v>110</v>
      </c>
      <c r="D24" s="40">
        <f>SUM(D25:D26)</f>
        <v>565</v>
      </c>
    </row>
    <row r="25" spans="1:4" s="7" customFormat="1" ht="18.75" customHeight="1">
      <c r="A25" s="7" t="s">
        <v>42</v>
      </c>
      <c r="B25" s="40">
        <v>2600</v>
      </c>
      <c r="C25" s="7" t="s">
        <v>97</v>
      </c>
      <c r="D25" s="40">
        <v>551</v>
      </c>
    </row>
    <row r="26" spans="1:4" s="7" customFormat="1" ht="18.75" customHeight="1">
      <c r="A26" s="7" t="s">
        <v>44</v>
      </c>
      <c r="B26" s="40">
        <v>1260</v>
      </c>
      <c r="C26" s="7" t="s">
        <v>111</v>
      </c>
      <c r="D26" s="40">
        <v>14</v>
      </c>
    </row>
    <row r="27" spans="1:4" s="7" customFormat="1" ht="18.75" customHeight="1">
      <c r="A27" s="7" t="s">
        <v>46</v>
      </c>
      <c r="B27" s="40"/>
      <c r="C27" s="7" t="s">
        <v>112</v>
      </c>
      <c r="D27" s="40">
        <f>D28</f>
        <v>981</v>
      </c>
    </row>
    <row r="28" spans="1:4" s="7" customFormat="1" ht="27">
      <c r="A28" s="7" t="s">
        <v>93</v>
      </c>
      <c r="B28" s="40">
        <v>2183</v>
      </c>
      <c r="C28" s="7" t="s">
        <v>97</v>
      </c>
      <c r="D28" s="40">
        <v>981</v>
      </c>
    </row>
    <row r="29" spans="1:4" s="7" customFormat="1" ht="18.75" customHeight="1">
      <c r="A29" s="7" t="s">
        <v>49</v>
      </c>
      <c r="B29" s="40"/>
      <c r="C29" s="7" t="s">
        <v>113</v>
      </c>
      <c r="D29" s="40">
        <f>SUM(D30:D31)</f>
        <v>5698</v>
      </c>
    </row>
    <row r="30" spans="2:4" s="7" customFormat="1" ht="18.75" customHeight="1">
      <c r="B30" s="40"/>
      <c r="C30" s="7" t="s">
        <v>97</v>
      </c>
      <c r="D30" s="40">
        <f>2779+749</f>
        <v>3528</v>
      </c>
    </row>
    <row r="31" spans="2:4" s="7" customFormat="1" ht="18.75" customHeight="1">
      <c r="B31" s="40"/>
      <c r="C31" s="7" t="s">
        <v>114</v>
      </c>
      <c r="D31" s="40">
        <v>2170</v>
      </c>
    </row>
    <row r="32" spans="2:4" s="7" customFormat="1" ht="18.75" customHeight="1">
      <c r="B32" s="40"/>
      <c r="C32" s="62" t="s">
        <v>455</v>
      </c>
      <c r="D32" s="40">
        <f>D33</f>
        <v>1285</v>
      </c>
    </row>
    <row r="33" spans="2:4" s="7" customFormat="1" ht="18.75" customHeight="1">
      <c r="B33" s="40"/>
      <c r="C33" s="62" t="s">
        <v>456</v>
      </c>
      <c r="D33" s="40">
        <v>1285</v>
      </c>
    </row>
    <row r="34" spans="2:4" s="7" customFormat="1" ht="18.75" customHeight="1">
      <c r="B34" s="40"/>
      <c r="C34" s="62" t="s">
        <v>457</v>
      </c>
      <c r="D34" s="40">
        <f>SUM(D35:D36)</f>
        <v>579</v>
      </c>
    </row>
    <row r="35" spans="2:4" s="7" customFormat="1" ht="18.75" customHeight="1">
      <c r="B35" s="40"/>
      <c r="C35" s="62" t="s">
        <v>456</v>
      </c>
      <c r="D35" s="40">
        <v>484</v>
      </c>
    </row>
    <row r="36" spans="2:4" s="7" customFormat="1" ht="18.75" customHeight="1">
      <c r="B36" s="40"/>
      <c r="C36" s="62" t="s">
        <v>458</v>
      </c>
      <c r="D36" s="40">
        <v>95</v>
      </c>
    </row>
    <row r="37" spans="2:4" s="7" customFormat="1" ht="18.75" customHeight="1">
      <c r="B37" s="40"/>
      <c r="C37" s="7" t="s">
        <v>115</v>
      </c>
      <c r="D37" s="40">
        <f>D38</f>
        <v>160</v>
      </c>
    </row>
    <row r="38" spans="2:4" s="7" customFormat="1" ht="18.75" customHeight="1">
      <c r="B38" s="40"/>
      <c r="C38" s="7" t="s">
        <v>97</v>
      </c>
      <c r="D38" s="40">
        <v>160</v>
      </c>
    </row>
    <row r="39" spans="2:4" s="7" customFormat="1" ht="18.75" customHeight="1">
      <c r="B39" s="40"/>
      <c r="C39" s="7" t="s">
        <v>116</v>
      </c>
      <c r="D39" s="40">
        <f>SUM(D40:D41)</f>
        <v>379</v>
      </c>
    </row>
    <row r="40" spans="1:5" s="7" customFormat="1" ht="18.75" customHeight="1">
      <c r="A40" s="46"/>
      <c r="B40" s="40"/>
      <c r="C40" s="46" t="s">
        <v>97</v>
      </c>
      <c r="D40" s="40">
        <v>353</v>
      </c>
      <c r="E40" s="46"/>
    </row>
    <row r="41" spans="1:5" s="7" customFormat="1" ht="18.75" customHeight="1">
      <c r="A41" s="44"/>
      <c r="B41" s="45"/>
      <c r="C41" s="44" t="s">
        <v>117</v>
      </c>
      <c r="D41" s="45">
        <v>26</v>
      </c>
      <c r="E41" s="44"/>
    </row>
    <row r="42" spans="2:4" s="7" customFormat="1" ht="18.75" customHeight="1">
      <c r="B42" s="40"/>
      <c r="C42" s="7" t="s">
        <v>118</v>
      </c>
      <c r="D42" s="40">
        <f>D43</f>
        <v>12354</v>
      </c>
    </row>
    <row r="43" spans="2:4" s="7" customFormat="1" ht="18.75" customHeight="1">
      <c r="B43" s="40"/>
      <c r="C43" s="7" t="s">
        <v>97</v>
      </c>
      <c r="D43" s="40">
        <f>11054+1300</f>
        <v>12354</v>
      </c>
    </row>
    <row r="44" spans="2:4" s="7" customFormat="1" ht="18.75" customHeight="1">
      <c r="B44" s="40"/>
      <c r="C44" s="7" t="s">
        <v>119</v>
      </c>
      <c r="D44" s="40">
        <f>D45</f>
        <v>4001</v>
      </c>
    </row>
    <row r="45" spans="2:4" s="7" customFormat="1" ht="18.75" customHeight="1">
      <c r="B45" s="40"/>
      <c r="C45" s="7" t="s">
        <v>120</v>
      </c>
      <c r="D45" s="40">
        <v>4001</v>
      </c>
    </row>
    <row r="46" spans="2:4" s="7" customFormat="1" ht="18.75" customHeight="1">
      <c r="B46" s="40"/>
      <c r="C46" s="7" t="s">
        <v>121</v>
      </c>
      <c r="D46" s="40">
        <f>D47</f>
        <v>300</v>
      </c>
    </row>
    <row r="47" spans="2:4" s="7" customFormat="1" ht="18.75" customHeight="1">
      <c r="B47" s="40"/>
      <c r="C47" s="7" t="s">
        <v>122</v>
      </c>
      <c r="D47" s="40">
        <v>300</v>
      </c>
    </row>
    <row r="48" spans="2:4" s="7" customFormat="1" ht="18.75" customHeight="1">
      <c r="B48" s="40"/>
      <c r="C48" s="62" t="s">
        <v>459</v>
      </c>
      <c r="D48" s="40">
        <f>D49</f>
        <v>1306</v>
      </c>
    </row>
    <row r="49" spans="2:4" s="7" customFormat="1" ht="18.75" customHeight="1">
      <c r="B49" s="40"/>
      <c r="C49" s="62" t="s">
        <v>460</v>
      </c>
      <c r="D49" s="40">
        <v>1306</v>
      </c>
    </row>
    <row r="50" spans="2:4" s="7" customFormat="1" ht="18.75" customHeight="1">
      <c r="B50" s="40"/>
      <c r="C50" s="63" t="s">
        <v>461</v>
      </c>
      <c r="D50" s="40">
        <f>D51</f>
        <v>0</v>
      </c>
    </row>
    <row r="51" spans="2:4" s="7" customFormat="1" ht="18.75" customHeight="1">
      <c r="B51" s="40"/>
      <c r="C51" s="62" t="s">
        <v>462</v>
      </c>
      <c r="D51" s="40">
        <f>D52</f>
        <v>0</v>
      </c>
    </row>
    <row r="52" spans="2:4" s="7" customFormat="1" ht="18.75" customHeight="1">
      <c r="B52" s="40"/>
      <c r="C52" s="62" t="s">
        <v>463</v>
      </c>
      <c r="D52" s="40"/>
    </row>
    <row r="53" spans="2:6" s="7" customFormat="1" ht="18.75" customHeight="1">
      <c r="B53" s="40"/>
      <c r="C53" s="64" t="s">
        <v>464</v>
      </c>
      <c r="D53" s="39">
        <f>D54+D58+D65+D68+D72+D76</f>
        <v>25526</v>
      </c>
      <c r="E53" s="38"/>
      <c r="F53" s="38"/>
    </row>
    <row r="54" spans="2:4" s="7" customFormat="1" ht="18.75" customHeight="1">
      <c r="B54" s="40"/>
      <c r="C54" s="7" t="s">
        <v>123</v>
      </c>
      <c r="D54" s="40">
        <f>SUM(D55:D57)</f>
        <v>296</v>
      </c>
    </row>
    <row r="55" spans="2:4" s="7" customFormat="1" ht="18.75" customHeight="1">
      <c r="B55" s="40"/>
      <c r="C55" s="7" t="s">
        <v>124</v>
      </c>
      <c r="D55" s="40">
        <v>13</v>
      </c>
    </row>
    <row r="56" spans="2:4" s="7" customFormat="1" ht="18.75" customHeight="1">
      <c r="B56" s="40"/>
      <c r="C56" s="7" t="s">
        <v>125</v>
      </c>
      <c r="D56" s="40">
        <v>30</v>
      </c>
    </row>
    <row r="57" spans="2:4" s="7" customFormat="1" ht="18.75" customHeight="1">
      <c r="B57" s="40"/>
      <c r="C57" s="7" t="s">
        <v>126</v>
      </c>
      <c r="D57" s="40">
        <v>253</v>
      </c>
    </row>
    <row r="58" spans="2:4" s="7" customFormat="1" ht="18.75" customHeight="1">
      <c r="B58" s="40"/>
      <c r="C58" s="7" t="s">
        <v>127</v>
      </c>
      <c r="D58" s="40">
        <f>SUM(D59:D64)</f>
        <v>17012</v>
      </c>
    </row>
    <row r="59" spans="2:4" s="7" customFormat="1" ht="18.75" customHeight="1">
      <c r="B59" s="40"/>
      <c r="C59" s="7" t="s">
        <v>97</v>
      </c>
      <c r="D59" s="40">
        <f>13867+200</f>
        <v>14067</v>
      </c>
    </row>
    <row r="60" spans="2:4" s="7" customFormat="1" ht="18.75" customHeight="1">
      <c r="B60" s="40"/>
      <c r="C60" s="7" t="s">
        <v>529</v>
      </c>
      <c r="D60" s="40">
        <v>385</v>
      </c>
    </row>
    <row r="61" spans="2:4" s="7" customFormat="1" ht="18.75" customHeight="1">
      <c r="B61" s="40"/>
      <c r="C61" s="7" t="s">
        <v>128</v>
      </c>
      <c r="D61" s="40">
        <v>26</v>
      </c>
    </row>
    <row r="62" spans="2:4" s="7" customFormat="1" ht="18.75" customHeight="1">
      <c r="B62" s="40"/>
      <c r="C62" s="7" t="s">
        <v>129</v>
      </c>
      <c r="D62" s="40">
        <v>62</v>
      </c>
    </row>
    <row r="63" spans="2:4" s="7" customFormat="1" ht="18.75" customHeight="1">
      <c r="B63" s="40"/>
      <c r="C63" s="7" t="s">
        <v>130</v>
      </c>
      <c r="D63" s="40">
        <v>611</v>
      </c>
    </row>
    <row r="64" spans="2:4" s="7" customFormat="1" ht="18.75" customHeight="1">
      <c r="B64" s="40"/>
      <c r="C64" s="7" t="s">
        <v>131</v>
      </c>
      <c r="D64" s="40">
        <v>1861</v>
      </c>
    </row>
    <row r="65" spans="2:4" s="7" customFormat="1" ht="18.75" customHeight="1">
      <c r="B65" s="40"/>
      <c r="C65" s="7" t="s">
        <v>132</v>
      </c>
      <c r="D65" s="40">
        <f>SUM(D66:D67)</f>
        <v>1202</v>
      </c>
    </row>
    <row r="66" spans="2:4" s="7" customFormat="1" ht="18.75" customHeight="1">
      <c r="B66" s="40"/>
      <c r="C66" s="7" t="s">
        <v>97</v>
      </c>
      <c r="D66" s="40">
        <v>987</v>
      </c>
    </row>
    <row r="67" spans="2:4" s="7" customFormat="1" ht="18.75" customHeight="1">
      <c r="B67" s="40"/>
      <c r="C67" s="7" t="s">
        <v>133</v>
      </c>
      <c r="D67" s="40">
        <v>215</v>
      </c>
    </row>
    <row r="68" spans="2:4" s="7" customFormat="1" ht="18.75" customHeight="1">
      <c r="B68" s="40"/>
      <c r="C68" s="7" t="s">
        <v>134</v>
      </c>
      <c r="D68" s="40">
        <f>SUM(D69:D71)</f>
        <v>4092</v>
      </c>
    </row>
    <row r="69" spans="2:4" s="7" customFormat="1" ht="18.75" customHeight="1">
      <c r="B69" s="40"/>
      <c r="C69" s="7" t="s">
        <v>97</v>
      </c>
      <c r="D69" s="40">
        <v>2342</v>
      </c>
    </row>
    <row r="70" spans="2:4" s="7" customFormat="1" ht="18.75" customHeight="1">
      <c r="B70" s="40"/>
      <c r="C70" s="7" t="s">
        <v>530</v>
      </c>
      <c r="D70" s="40">
        <v>1449</v>
      </c>
    </row>
    <row r="71" spans="2:4" s="7" customFormat="1" ht="18.75" customHeight="1">
      <c r="B71" s="40"/>
      <c r="C71" s="7" t="s">
        <v>135</v>
      </c>
      <c r="D71" s="40">
        <v>301</v>
      </c>
    </row>
    <row r="72" spans="2:4" s="7" customFormat="1" ht="18.75" customHeight="1">
      <c r="B72" s="40"/>
      <c r="C72" s="7" t="s">
        <v>136</v>
      </c>
      <c r="D72" s="40">
        <f>SUM(D73:D75)</f>
        <v>1167</v>
      </c>
    </row>
    <row r="73" spans="2:4" s="7" customFormat="1" ht="18.75" customHeight="1">
      <c r="B73" s="40"/>
      <c r="C73" s="7" t="s">
        <v>97</v>
      </c>
      <c r="D73" s="40">
        <v>1032</v>
      </c>
    </row>
    <row r="74" spans="2:4" s="7" customFormat="1" ht="18.75" customHeight="1">
      <c r="B74" s="40"/>
      <c r="C74" s="7" t="s">
        <v>137</v>
      </c>
      <c r="D74" s="40">
        <v>28</v>
      </c>
    </row>
    <row r="75" spans="2:4" s="7" customFormat="1" ht="18.75" customHeight="1">
      <c r="B75" s="40"/>
      <c r="C75" s="7" t="s">
        <v>138</v>
      </c>
      <c r="D75" s="40">
        <v>107</v>
      </c>
    </row>
    <row r="76" spans="2:4" s="7" customFormat="1" ht="18.75" customHeight="1">
      <c r="B76" s="40"/>
      <c r="C76" s="7" t="s">
        <v>139</v>
      </c>
      <c r="D76" s="40">
        <f>D77</f>
        <v>1757</v>
      </c>
    </row>
    <row r="77" spans="2:4" s="7" customFormat="1" ht="18.75" customHeight="1">
      <c r="B77" s="40"/>
      <c r="C77" s="7" t="s">
        <v>140</v>
      </c>
      <c r="D77" s="40">
        <v>1757</v>
      </c>
    </row>
    <row r="78" spans="2:6" s="7" customFormat="1" ht="18.75" customHeight="1">
      <c r="B78" s="40"/>
      <c r="C78" s="38" t="s">
        <v>375</v>
      </c>
      <c r="D78" s="39">
        <f>D79+D82+D88+D92+D95+D98</f>
        <v>113957</v>
      </c>
      <c r="E78" s="38"/>
      <c r="F78" s="38"/>
    </row>
    <row r="79" spans="2:4" s="7" customFormat="1" ht="18.75" customHeight="1">
      <c r="B79" s="40"/>
      <c r="C79" s="7" t="s">
        <v>141</v>
      </c>
      <c r="D79" s="40">
        <f>SUM(D80:D81)</f>
        <v>2073</v>
      </c>
    </row>
    <row r="80" spans="2:4" s="7" customFormat="1" ht="18.75" customHeight="1">
      <c r="B80" s="40"/>
      <c r="C80" s="7" t="s">
        <v>97</v>
      </c>
      <c r="D80" s="40">
        <v>2063</v>
      </c>
    </row>
    <row r="81" spans="2:4" s="7" customFormat="1" ht="18.75" customHeight="1">
      <c r="B81" s="40"/>
      <c r="C81" s="7" t="s">
        <v>142</v>
      </c>
      <c r="D81" s="40">
        <v>10</v>
      </c>
    </row>
    <row r="82" spans="1:5" s="7" customFormat="1" ht="18.75" customHeight="1">
      <c r="A82" s="46"/>
      <c r="B82" s="40"/>
      <c r="C82" s="46" t="s">
        <v>143</v>
      </c>
      <c r="D82" s="40">
        <f>SUM(D83:D87)</f>
        <v>108016</v>
      </c>
      <c r="E82" s="46"/>
    </row>
    <row r="83" spans="1:5" s="7" customFormat="1" ht="18.75" customHeight="1">
      <c r="A83" s="44"/>
      <c r="B83" s="45"/>
      <c r="C83" s="44" t="s">
        <v>144</v>
      </c>
      <c r="D83" s="45">
        <f>7794+1000</f>
        <v>8794</v>
      </c>
      <c r="E83" s="44"/>
    </row>
    <row r="84" spans="2:4" s="7" customFormat="1" ht="18.75" customHeight="1">
      <c r="B84" s="40"/>
      <c r="C84" s="7" t="s">
        <v>145</v>
      </c>
      <c r="D84" s="40">
        <v>51520</v>
      </c>
    </row>
    <row r="85" spans="2:4" s="7" customFormat="1" ht="18.75" customHeight="1">
      <c r="B85" s="40"/>
      <c r="C85" s="7" t="s">
        <v>146</v>
      </c>
      <c r="D85" s="40">
        <f>35343+3474</f>
        <v>38817</v>
      </c>
    </row>
    <row r="86" spans="2:4" s="7" customFormat="1" ht="18.75" customHeight="1">
      <c r="B86" s="40"/>
      <c r="C86" s="7" t="s">
        <v>147</v>
      </c>
      <c r="D86" s="40">
        <v>1627</v>
      </c>
    </row>
    <row r="87" spans="2:4" s="7" customFormat="1" ht="18.75" customHeight="1">
      <c r="B87" s="40"/>
      <c r="C87" s="7" t="s">
        <v>148</v>
      </c>
      <c r="D87" s="40">
        <v>7258</v>
      </c>
    </row>
    <row r="88" spans="2:4" s="7" customFormat="1" ht="18.75" customHeight="1">
      <c r="B88" s="40"/>
      <c r="C88" s="7" t="s">
        <v>149</v>
      </c>
      <c r="D88" s="40">
        <f>SUM(D89:D91)</f>
        <v>2190</v>
      </c>
    </row>
    <row r="89" spans="2:4" s="7" customFormat="1" ht="18.75" customHeight="1">
      <c r="B89" s="40"/>
      <c r="C89" s="7" t="s">
        <v>150</v>
      </c>
      <c r="D89" s="40">
        <v>337</v>
      </c>
    </row>
    <row r="90" spans="2:4" s="7" customFormat="1" ht="18.75" customHeight="1">
      <c r="B90" s="40"/>
      <c r="C90" s="7" t="s">
        <v>151</v>
      </c>
      <c r="D90" s="40">
        <v>877</v>
      </c>
    </row>
    <row r="91" spans="2:4" s="7" customFormat="1" ht="18.75" customHeight="1">
      <c r="B91" s="40"/>
      <c r="C91" s="7" t="s">
        <v>152</v>
      </c>
      <c r="D91" s="40">
        <v>976</v>
      </c>
    </row>
    <row r="92" spans="2:4" s="7" customFormat="1" ht="18.75" customHeight="1">
      <c r="B92" s="40"/>
      <c r="C92" s="7" t="s">
        <v>153</v>
      </c>
      <c r="D92" s="40">
        <f>SUM(D93:D94)</f>
        <v>825</v>
      </c>
    </row>
    <row r="93" spans="2:4" s="7" customFormat="1" ht="18.75" customHeight="1">
      <c r="B93" s="40"/>
      <c r="C93" s="7" t="s">
        <v>154</v>
      </c>
      <c r="D93" s="40">
        <v>462</v>
      </c>
    </row>
    <row r="94" spans="2:4" s="7" customFormat="1" ht="18.75" customHeight="1">
      <c r="B94" s="40"/>
      <c r="C94" s="7" t="s">
        <v>155</v>
      </c>
      <c r="D94" s="40">
        <v>363</v>
      </c>
    </row>
    <row r="95" spans="2:4" s="7" customFormat="1" ht="18.75" customHeight="1">
      <c r="B95" s="40"/>
      <c r="C95" s="7" t="s">
        <v>156</v>
      </c>
      <c r="D95" s="40">
        <f>SUM(D96:D97)</f>
        <v>514</v>
      </c>
    </row>
    <row r="96" spans="2:4" s="7" customFormat="1" ht="18.75" customHeight="1">
      <c r="B96" s="40"/>
      <c r="C96" s="7" t="s">
        <v>531</v>
      </c>
      <c r="D96" s="40">
        <v>286</v>
      </c>
    </row>
    <row r="97" spans="2:4" s="7" customFormat="1" ht="18.75" customHeight="1">
      <c r="B97" s="40"/>
      <c r="C97" s="7" t="s">
        <v>157</v>
      </c>
      <c r="D97" s="40">
        <v>228</v>
      </c>
    </row>
    <row r="98" spans="2:4" s="7" customFormat="1" ht="18.75" customHeight="1">
      <c r="B98" s="40"/>
      <c r="C98" s="7" t="s">
        <v>158</v>
      </c>
      <c r="D98" s="40">
        <f>D99</f>
        <v>339</v>
      </c>
    </row>
    <row r="99" spans="2:4" s="7" customFormat="1" ht="18.75" customHeight="1">
      <c r="B99" s="40"/>
      <c r="C99" s="7" t="s">
        <v>159</v>
      </c>
      <c r="D99" s="40">
        <v>339</v>
      </c>
    </row>
    <row r="100" spans="2:6" s="7" customFormat="1" ht="18.75" customHeight="1">
      <c r="B100" s="40"/>
      <c r="C100" s="38" t="s">
        <v>376</v>
      </c>
      <c r="D100" s="39">
        <f>D101+D103</f>
        <v>480</v>
      </c>
      <c r="E100" s="38"/>
      <c r="F100" s="38"/>
    </row>
    <row r="101" spans="2:4" s="7" customFormat="1" ht="18.75" customHeight="1">
      <c r="B101" s="40"/>
      <c r="C101" s="7" t="s">
        <v>160</v>
      </c>
      <c r="D101" s="40">
        <f>D102</f>
        <v>406</v>
      </c>
    </row>
    <row r="102" spans="2:4" s="7" customFormat="1" ht="18.75" customHeight="1">
      <c r="B102" s="40"/>
      <c r="C102" s="7" t="s">
        <v>97</v>
      </c>
      <c r="D102" s="40">
        <v>406</v>
      </c>
    </row>
    <row r="103" spans="2:4" s="7" customFormat="1" ht="18.75" customHeight="1">
      <c r="B103" s="40"/>
      <c r="C103" s="7" t="s">
        <v>162</v>
      </c>
      <c r="D103" s="40">
        <f>SUM(D104:D105)</f>
        <v>74</v>
      </c>
    </row>
    <row r="104" spans="2:4" s="7" customFormat="1" ht="18.75" customHeight="1">
      <c r="B104" s="40"/>
      <c r="C104" s="7" t="s">
        <v>163</v>
      </c>
      <c r="D104" s="40">
        <v>3</v>
      </c>
    </row>
    <row r="105" spans="2:4" s="7" customFormat="1" ht="18.75" customHeight="1">
      <c r="B105" s="40"/>
      <c r="C105" s="7" t="s">
        <v>164</v>
      </c>
      <c r="D105" s="40">
        <v>71</v>
      </c>
    </row>
    <row r="106" spans="2:6" s="7" customFormat="1" ht="18.75" customHeight="1">
      <c r="B106" s="40"/>
      <c r="C106" s="38" t="s">
        <v>377</v>
      </c>
      <c r="D106" s="39">
        <f>D107+D113+D120</f>
        <v>4525</v>
      </c>
      <c r="E106" s="38"/>
      <c r="F106" s="38"/>
    </row>
    <row r="107" spans="2:4" s="7" customFormat="1" ht="18.75" customHeight="1">
      <c r="B107" s="40"/>
      <c r="C107" s="7" t="s">
        <v>165</v>
      </c>
      <c r="D107" s="40">
        <f>SUM(D108:D112)</f>
        <v>2596</v>
      </c>
    </row>
    <row r="108" spans="2:4" s="7" customFormat="1" ht="18.75" customHeight="1">
      <c r="B108" s="40"/>
      <c r="C108" s="7" t="s">
        <v>166</v>
      </c>
      <c r="D108" s="40">
        <v>139</v>
      </c>
    </row>
    <row r="109" spans="2:4" s="7" customFormat="1" ht="18.75" customHeight="1">
      <c r="B109" s="40"/>
      <c r="C109" s="7" t="s">
        <v>167</v>
      </c>
      <c r="D109" s="40">
        <v>727</v>
      </c>
    </row>
    <row r="110" spans="2:4" s="7" customFormat="1" ht="18.75" customHeight="1">
      <c r="B110" s="40"/>
      <c r="C110" s="7" t="s">
        <v>168</v>
      </c>
      <c r="D110" s="40">
        <v>1559</v>
      </c>
    </row>
    <row r="111" spans="2:4" s="7" customFormat="1" ht="18.75" customHeight="1">
      <c r="B111" s="40"/>
      <c r="C111" s="7" t="s">
        <v>169</v>
      </c>
      <c r="D111" s="40">
        <v>18</v>
      </c>
    </row>
    <row r="112" spans="2:4" s="7" customFormat="1" ht="18.75" customHeight="1">
      <c r="B112" s="40"/>
      <c r="C112" s="7" t="s">
        <v>170</v>
      </c>
      <c r="D112" s="40">
        <v>153</v>
      </c>
    </row>
    <row r="113" spans="2:4" s="7" customFormat="1" ht="18.75" customHeight="1">
      <c r="B113" s="40"/>
      <c r="C113" s="7" t="s">
        <v>532</v>
      </c>
      <c r="D113" s="40">
        <f>SUM(D114:D119)</f>
        <v>1734</v>
      </c>
    </row>
    <row r="114" spans="2:4" s="7" customFormat="1" ht="18.75" customHeight="1">
      <c r="B114" s="40"/>
      <c r="C114" s="7" t="s">
        <v>97</v>
      </c>
      <c r="D114" s="40">
        <v>984</v>
      </c>
    </row>
    <row r="115" spans="2:4" s="7" customFormat="1" ht="18.75" customHeight="1">
      <c r="B115" s="40"/>
      <c r="C115" s="7" t="s">
        <v>171</v>
      </c>
      <c r="D115" s="40">
        <v>45</v>
      </c>
    </row>
    <row r="116" spans="2:4" s="7" customFormat="1" ht="18.75" customHeight="1">
      <c r="B116" s="40"/>
      <c r="C116" s="7" t="s">
        <v>172</v>
      </c>
      <c r="D116" s="40">
        <v>604</v>
      </c>
    </row>
    <row r="117" spans="2:4" s="7" customFormat="1" ht="18.75" customHeight="1">
      <c r="B117" s="40"/>
      <c r="C117" s="7" t="s">
        <v>533</v>
      </c>
      <c r="D117" s="40">
        <v>22</v>
      </c>
    </row>
    <row r="118" spans="2:4" s="7" customFormat="1" ht="18.75" customHeight="1">
      <c r="B118" s="40"/>
      <c r="C118" s="7" t="s">
        <v>534</v>
      </c>
      <c r="D118" s="40">
        <v>6</v>
      </c>
    </row>
    <row r="119" spans="2:4" s="7" customFormat="1" ht="18.75" customHeight="1">
      <c r="B119" s="40"/>
      <c r="C119" s="7" t="s">
        <v>173</v>
      </c>
      <c r="D119" s="40">
        <v>73</v>
      </c>
    </row>
    <row r="120" spans="2:4" s="7" customFormat="1" ht="18.75" customHeight="1">
      <c r="B120" s="40"/>
      <c r="C120" s="7" t="s">
        <v>174</v>
      </c>
      <c r="D120" s="40">
        <f>D121</f>
        <v>195</v>
      </c>
    </row>
    <row r="121" spans="2:4" s="7" customFormat="1" ht="18.75" customHeight="1">
      <c r="B121" s="40"/>
      <c r="C121" s="7" t="s">
        <v>175</v>
      </c>
      <c r="D121" s="40">
        <v>195</v>
      </c>
    </row>
    <row r="122" spans="2:6" s="7" customFormat="1" ht="18.75" customHeight="1">
      <c r="B122" s="40"/>
      <c r="C122" s="38" t="s">
        <v>378</v>
      </c>
      <c r="D122" s="39">
        <f>D123+D126+D128+D130+D132+D135+D139+D142+D147+D152+D154+D156+D159+D162+D164</f>
        <v>33057</v>
      </c>
      <c r="E122" s="38"/>
      <c r="F122" s="38"/>
    </row>
    <row r="123" spans="2:4" s="7" customFormat="1" ht="18.75" customHeight="1">
      <c r="B123" s="40"/>
      <c r="C123" s="7" t="s">
        <v>176</v>
      </c>
      <c r="D123" s="40">
        <f>SUM(D124:D125)</f>
        <v>1981</v>
      </c>
    </row>
    <row r="124" spans="2:4" s="7" customFormat="1" ht="18.75" customHeight="1">
      <c r="B124" s="40"/>
      <c r="C124" s="7" t="s">
        <v>97</v>
      </c>
      <c r="D124" s="40">
        <v>1203</v>
      </c>
    </row>
    <row r="125" spans="2:4" s="7" customFormat="1" ht="18.75" customHeight="1">
      <c r="B125" s="40"/>
      <c r="C125" s="7" t="s">
        <v>177</v>
      </c>
      <c r="D125" s="40">
        <v>778</v>
      </c>
    </row>
    <row r="126" spans="2:4" s="7" customFormat="1" ht="18.75" customHeight="1">
      <c r="B126" s="40"/>
      <c r="C126" s="7" t="s">
        <v>178</v>
      </c>
      <c r="D126" s="40">
        <f>SUM(D127:D127)</f>
        <v>825</v>
      </c>
    </row>
    <row r="127" spans="2:4" s="7" customFormat="1" ht="18.75" customHeight="1">
      <c r="B127" s="40"/>
      <c r="C127" s="7" t="s">
        <v>97</v>
      </c>
      <c r="D127" s="40">
        <v>825</v>
      </c>
    </row>
    <row r="128" spans="2:4" s="7" customFormat="1" ht="18.75" customHeight="1">
      <c r="B128" s="40"/>
      <c r="C128" s="7" t="s">
        <v>179</v>
      </c>
      <c r="D128" s="40">
        <f>D129</f>
        <v>14641</v>
      </c>
    </row>
    <row r="129" spans="2:4" s="7" customFormat="1" ht="27">
      <c r="B129" s="40"/>
      <c r="C129" s="7" t="s">
        <v>180</v>
      </c>
      <c r="D129" s="40">
        <f>14141+500</f>
        <v>14641</v>
      </c>
    </row>
    <row r="130" spans="2:4" s="7" customFormat="1" ht="18.75" customHeight="1">
      <c r="B130" s="40"/>
      <c r="C130" s="7" t="s">
        <v>535</v>
      </c>
      <c r="D130" s="40">
        <f>D131</f>
        <v>46</v>
      </c>
    </row>
    <row r="131" spans="2:4" s="7" customFormat="1" ht="18.75" customHeight="1">
      <c r="B131" s="40"/>
      <c r="C131" s="7" t="s">
        <v>536</v>
      </c>
      <c r="D131" s="40">
        <v>46</v>
      </c>
    </row>
    <row r="132" spans="2:4" s="7" customFormat="1" ht="18.75" customHeight="1">
      <c r="B132" s="40"/>
      <c r="C132" s="7" t="s">
        <v>181</v>
      </c>
      <c r="D132" s="40">
        <f>SUM(D133:D134)</f>
        <v>1040</v>
      </c>
    </row>
    <row r="133" spans="2:4" s="7" customFormat="1" ht="18.75" customHeight="1">
      <c r="B133" s="40"/>
      <c r="C133" s="7" t="s">
        <v>537</v>
      </c>
      <c r="D133" s="40">
        <v>271</v>
      </c>
    </row>
    <row r="134" spans="2:4" s="7" customFormat="1" ht="18.75" customHeight="1">
      <c r="B134" s="40"/>
      <c r="C134" s="7" t="s">
        <v>538</v>
      </c>
      <c r="D134" s="40">
        <v>769</v>
      </c>
    </row>
    <row r="135" spans="2:4" s="7" customFormat="1" ht="18.75" customHeight="1">
      <c r="B135" s="40"/>
      <c r="C135" s="7" t="s">
        <v>182</v>
      </c>
      <c r="D135" s="40">
        <f>SUM(D136:D138)</f>
        <v>549</v>
      </c>
    </row>
    <row r="136" spans="2:4" s="7" customFormat="1" ht="18.75" customHeight="1">
      <c r="B136" s="40"/>
      <c r="C136" s="7" t="s">
        <v>183</v>
      </c>
      <c r="D136" s="40">
        <v>374</v>
      </c>
    </row>
    <row r="137" spans="2:4" s="7" customFormat="1" ht="18.75" customHeight="1">
      <c r="B137" s="40"/>
      <c r="C137" s="7" t="s">
        <v>184</v>
      </c>
      <c r="D137" s="40">
        <v>175</v>
      </c>
    </row>
    <row r="138" spans="2:4" s="7" customFormat="1" ht="18.75" customHeight="1">
      <c r="B138" s="40"/>
      <c r="C138" s="7" t="s">
        <v>185</v>
      </c>
      <c r="D138" s="40"/>
    </row>
    <row r="139" spans="2:4" s="7" customFormat="1" ht="18.75" customHeight="1">
      <c r="B139" s="40"/>
      <c r="C139" s="7" t="s">
        <v>186</v>
      </c>
      <c r="D139" s="40">
        <f>SUM(D140:D141)</f>
        <v>8</v>
      </c>
    </row>
    <row r="140" spans="2:4" s="7" customFormat="1" ht="18.75" customHeight="1">
      <c r="B140" s="40"/>
      <c r="C140" s="7" t="s">
        <v>187</v>
      </c>
      <c r="D140" s="40">
        <v>1</v>
      </c>
    </row>
    <row r="141" spans="2:4" s="7" customFormat="1" ht="18.75" customHeight="1">
      <c r="B141" s="40"/>
      <c r="C141" s="7" t="s">
        <v>188</v>
      </c>
      <c r="D141" s="40">
        <v>7</v>
      </c>
    </row>
    <row r="142" spans="2:4" s="7" customFormat="1" ht="18.75" customHeight="1">
      <c r="B142" s="40"/>
      <c r="C142" s="7" t="s">
        <v>189</v>
      </c>
      <c r="D142" s="40">
        <f>SUM(D143:D146)</f>
        <v>438</v>
      </c>
    </row>
    <row r="143" spans="2:4" s="7" customFormat="1" ht="18.75" customHeight="1">
      <c r="B143" s="40"/>
      <c r="C143" s="7" t="s">
        <v>190</v>
      </c>
      <c r="D143" s="40">
        <v>230</v>
      </c>
    </row>
    <row r="144" spans="2:4" s="7" customFormat="1" ht="18.75" customHeight="1">
      <c r="B144" s="40"/>
      <c r="C144" s="7" t="s">
        <v>191</v>
      </c>
      <c r="D144" s="40">
        <v>197</v>
      </c>
    </row>
    <row r="145" spans="2:4" s="7" customFormat="1" ht="18.75" customHeight="1">
      <c r="B145" s="40"/>
      <c r="C145" s="7" t="s">
        <v>192</v>
      </c>
      <c r="D145" s="40"/>
    </row>
    <row r="146" spans="2:4" s="7" customFormat="1" ht="18.75" customHeight="1">
      <c r="B146" s="40"/>
      <c r="C146" s="7" t="s">
        <v>193</v>
      </c>
      <c r="D146" s="40">
        <v>11</v>
      </c>
    </row>
    <row r="147" spans="2:4" s="7" customFormat="1" ht="18.75" customHeight="1">
      <c r="B147" s="40"/>
      <c r="C147" s="7" t="s">
        <v>194</v>
      </c>
      <c r="D147" s="40">
        <f>SUM(D148:D151)</f>
        <v>657</v>
      </c>
    </row>
    <row r="148" spans="2:4" s="7" customFormat="1" ht="18.75" customHeight="1">
      <c r="B148" s="40"/>
      <c r="C148" s="7" t="s">
        <v>97</v>
      </c>
      <c r="D148" s="40">
        <v>110</v>
      </c>
    </row>
    <row r="149" spans="2:4" s="7" customFormat="1" ht="18.75" customHeight="1">
      <c r="B149" s="40"/>
      <c r="C149" s="7" t="s">
        <v>195</v>
      </c>
      <c r="D149" s="40">
        <v>42</v>
      </c>
    </row>
    <row r="150" spans="2:4" s="7" customFormat="1" ht="18.75" customHeight="1">
      <c r="B150" s="40"/>
      <c r="C150" s="7" t="s">
        <v>539</v>
      </c>
      <c r="D150" s="40">
        <v>57</v>
      </c>
    </row>
    <row r="151" spans="2:4" s="7" customFormat="1" ht="18.75" customHeight="1">
      <c r="B151" s="40"/>
      <c r="C151" s="7" t="s">
        <v>196</v>
      </c>
      <c r="D151" s="40">
        <v>448</v>
      </c>
    </row>
    <row r="152" spans="2:4" s="7" customFormat="1" ht="18.75" customHeight="1">
      <c r="B152" s="40"/>
      <c r="C152" s="7" t="s">
        <v>540</v>
      </c>
      <c r="D152" s="40">
        <f>D153</f>
        <v>448</v>
      </c>
    </row>
    <row r="153" spans="2:4" s="7" customFormat="1" ht="18.75" customHeight="1">
      <c r="B153" s="40"/>
      <c r="C153" s="7" t="s">
        <v>541</v>
      </c>
      <c r="D153" s="40">
        <v>448</v>
      </c>
    </row>
    <row r="154" spans="2:4" s="7" customFormat="1" ht="18.75" customHeight="1">
      <c r="B154" s="40"/>
      <c r="C154" s="7" t="s">
        <v>542</v>
      </c>
      <c r="D154" s="40">
        <f>D155</f>
        <v>91</v>
      </c>
    </row>
    <row r="155" spans="2:4" s="7" customFormat="1" ht="18.75" customHeight="1">
      <c r="B155" s="40"/>
      <c r="C155" s="7" t="s">
        <v>543</v>
      </c>
      <c r="D155" s="40">
        <v>91</v>
      </c>
    </row>
    <row r="156" spans="2:4" s="7" customFormat="1" ht="18.75" customHeight="1">
      <c r="B156" s="40"/>
      <c r="C156" s="7" t="s">
        <v>197</v>
      </c>
      <c r="D156" s="40">
        <f>SUM(D157:D158)</f>
        <v>11894</v>
      </c>
    </row>
    <row r="157" spans="2:4" s="7" customFormat="1" ht="18.75" customHeight="1">
      <c r="B157" s="40"/>
      <c r="C157" s="7" t="s">
        <v>198</v>
      </c>
      <c r="D157" s="40">
        <f>4291+200</f>
        <v>4491</v>
      </c>
    </row>
    <row r="158" spans="2:4" s="7" customFormat="1" ht="18.75" customHeight="1">
      <c r="B158" s="40"/>
      <c r="C158" s="7" t="s">
        <v>200</v>
      </c>
      <c r="D158" s="40">
        <f>7103+300</f>
        <v>7403</v>
      </c>
    </row>
    <row r="159" spans="2:4" s="7" customFormat="1" ht="18.75" customHeight="1">
      <c r="B159" s="40"/>
      <c r="C159" s="62" t="s">
        <v>465</v>
      </c>
      <c r="D159" s="40">
        <f>SUM(D160:D161)</f>
        <v>126</v>
      </c>
    </row>
    <row r="160" spans="2:4" s="7" customFormat="1" ht="18.75" customHeight="1">
      <c r="B160" s="40"/>
      <c r="C160" s="62" t="s">
        <v>466</v>
      </c>
      <c r="D160" s="40">
        <v>119</v>
      </c>
    </row>
    <row r="161" spans="2:4" s="7" customFormat="1" ht="18.75" customHeight="1">
      <c r="B161" s="40"/>
      <c r="C161" s="7" t="s">
        <v>199</v>
      </c>
      <c r="D161" s="40">
        <v>7</v>
      </c>
    </row>
    <row r="162" spans="2:4" s="7" customFormat="1" ht="18.75" customHeight="1">
      <c r="B162" s="40"/>
      <c r="C162" s="62" t="s">
        <v>467</v>
      </c>
      <c r="D162" s="40">
        <f>D163</f>
        <v>19</v>
      </c>
    </row>
    <row r="163" spans="2:4" s="7" customFormat="1" ht="18.75" customHeight="1">
      <c r="B163" s="40"/>
      <c r="C163" s="62" t="s">
        <v>468</v>
      </c>
      <c r="D163" s="40">
        <v>19</v>
      </c>
    </row>
    <row r="164" spans="2:4" s="7" customFormat="1" ht="18.75" customHeight="1">
      <c r="B164" s="40"/>
      <c r="C164" s="62" t="s">
        <v>469</v>
      </c>
      <c r="D164" s="40">
        <f>D165</f>
        <v>294</v>
      </c>
    </row>
    <row r="165" spans="2:4" s="7" customFormat="1" ht="18.75" customHeight="1">
      <c r="B165" s="40"/>
      <c r="C165" s="7" t="s">
        <v>201</v>
      </c>
      <c r="D165" s="40">
        <v>294</v>
      </c>
    </row>
    <row r="166" spans="2:6" s="7" customFormat="1" ht="18.75" customHeight="1">
      <c r="B166" s="40"/>
      <c r="C166" s="38" t="s">
        <v>379</v>
      </c>
      <c r="D166" s="39">
        <f>D167+D169+D173+D176+D183+D188+D190+D193</f>
        <v>35689</v>
      </c>
      <c r="E166" s="38"/>
      <c r="F166" s="38"/>
    </row>
    <row r="167" spans="2:4" s="7" customFormat="1" ht="18.75" customHeight="1">
      <c r="B167" s="40"/>
      <c r="C167" s="7" t="s">
        <v>202</v>
      </c>
      <c r="D167" s="40">
        <f>D168</f>
        <v>1153</v>
      </c>
    </row>
    <row r="168" spans="2:4" s="7" customFormat="1" ht="18.75" customHeight="1">
      <c r="B168" s="40"/>
      <c r="C168" s="7" t="s">
        <v>97</v>
      </c>
      <c r="D168" s="40">
        <v>1153</v>
      </c>
    </row>
    <row r="169" spans="2:4" s="7" customFormat="1" ht="18.75" customHeight="1">
      <c r="B169" s="40"/>
      <c r="C169" s="7" t="s">
        <v>203</v>
      </c>
      <c r="D169" s="40">
        <f>SUM(D170:D172)</f>
        <v>6175</v>
      </c>
    </row>
    <row r="170" spans="2:4" s="7" customFormat="1" ht="18.75" customHeight="1">
      <c r="B170" s="40"/>
      <c r="C170" s="7" t="s">
        <v>204</v>
      </c>
      <c r="D170" s="40">
        <v>3929</v>
      </c>
    </row>
    <row r="171" spans="2:4" s="7" customFormat="1" ht="18.75" customHeight="1">
      <c r="B171" s="40"/>
      <c r="C171" s="7" t="s">
        <v>544</v>
      </c>
      <c r="D171" s="40">
        <v>1936</v>
      </c>
    </row>
    <row r="172" spans="2:4" s="7" customFormat="1" ht="18.75" customHeight="1">
      <c r="B172" s="40"/>
      <c r="C172" s="62" t="s">
        <v>470</v>
      </c>
      <c r="D172" s="40">
        <v>310</v>
      </c>
    </row>
    <row r="173" spans="2:4" s="7" customFormat="1" ht="18.75" customHeight="1">
      <c r="B173" s="40"/>
      <c r="C173" s="7" t="s">
        <v>205</v>
      </c>
      <c r="D173" s="40">
        <f>SUM(D174:D175)</f>
        <v>9267</v>
      </c>
    </row>
    <row r="174" spans="2:4" s="7" customFormat="1" ht="18.75" customHeight="1">
      <c r="B174" s="40"/>
      <c r="C174" s="7" t="s">
        <v>206</v>
      </c>
      <c r="D174" s="40">
        <f>8576+200</f>
        <v>8776</v>
      </c>
    </row>
    <row r="175" spans="2:4" s="7" customFormat="1" ht="18.75" customHeight="1">
      <c r="B175" s="40"/>
      <c r="C175" s="7" t="s">
        <v>207</v>
      </c>
      <c r="D175" s="40">
        <v>491</v>
      </c>
    </row>
    <row r="176" spans="2:4" s="7" customFormat="1" ht="18.75" customHeight="1">
      <c r="B176" s="40"/>
      <c r="C176" s="7" t="s">
        <v>208</v>
      </c>
      <c r="D176" s="40">
        <f>SUM(D177:D182)</f>
        <v>3012</v>
      </c>
    </row>
    <row r="177" spans="2:4" s="7" customFormat="1" ht="18.75" customHeight="1">
      <c r="B177" s="40"/>
      <c r="C177" s="7" t="s">
        <v>209</v>
      </c>
      <c r="D177" s="40">
        <v>675</v>
      </c>
    </row>
    <row r="178" spans="2:4" s="7" customFormat="1" ht="18.75" customHeight="1">
      <c r="B178" s="40"/>
      <c r="C178" s="62" t="s">
        <v>471</v>
      </c>
      <c r="D178" s="40"/>
    </row>
    <row r="179" spans="2:4" s="7" customFormat="1" ht="18.75" customHeight="1">
      <c r="B179" s="40"/>
      <c r="C179" s="7" t="s">
        <v>210</v>
      </c>
      <c r="D179" s="40">
        <v>520</v>
      </c>
    </row>
    <row r="180" spans="2:4" s="7" customFormat="1" ht="18.75" customHeight="1">
      <c r="B180" s="40"/>
      <c r="C180" s="7" t="s">
        <v>211</v>
      </c>
      <c r="D180" s="40">
        <f>1125+300</f>
        <v>1425</v>
      </c>
    </row>
    <row r="181" spans="2:4" s="7" customFormat="1" ht="18.75" customHeight="1">
      <c r="B181" s="40"/>
      <c r="C181" s="7" t="s">
        <v>212</v>
      </c>
      <c r="D181" s="40">
        <v>392</v>
      </c>
    </row>
    <row r="182" spans="2:4" s="7" customFormat="1" ht="18.75" customHeight="1">
      <c r="B182" s="40"/>
      <c r="C182" s="62" t="s">
        <v>472</v>
      </c>
      <c r="D182" s="40"/>
    </row>
    <row r="183" spans="2:4" s="7" customFormat="1" ht="18.75" customHeight="1">
      <c r="B183" s="40"/>
      <c r="C183" s="7" t="s">
        <v>213</v>
      </c>
      <c r="D183" s="40">
        <f>SUM(D184:D187)</f>
        <v>13135</v>
      </c>
    </row>
    <row r="184" spans="2:4" s="7" customFormat="1" ht="18.75" customHeight="1">
      <c r="B184" s="40"/>
      <c r="C184" s="7" t="s">
        <v>214</v>
      </c>
      <c r="D184" s="40">
        <v>25</v>
      </c>
    </row>
    <row r="185" spans="2:4" s="7" customFormat="1" ht="18.75" customHeight="1">
      <c r="B185" s="40"/>
      <c r="C185" s="7" t="s">
        <v>215</v>
      </c>
      <c r="D185" s="40">
        <f>11337+500</f>
        <v>11837</v>
      </c>
    </row>
    <row r="186" spans="2:4" s="7" customFormat="1" ht="18.75" customHeight="1">
      <c r="B186" s="40"/>
      <c r="C186" s="7" t="s">
        <v>216</v>
      </c>
      <c r="D186" s="40"/>
    </row>
    <row r="187" spans="2:4" s="7" customFormat="1" ht="18.75" customHeight="1">
      <c r="B187" s="40"/>
      <c r="C187" s="7" t="s">
        <v>217</v>
      </c>
      <c r="D187" s="40">
        <v>1273</v>
      </c>
    </row>
    <row r="188" spans="2:4" s="7" customFormat="1" ht="18.75" customHeight="1">
      <c r="B188" s="40"/>
      <c r="C188" s="7" t="s">
        <v>218</v>
      </c>
      <c r="D188" s="40">
        <f>D189</f>
        <v>10</v>
      </c>
    </row>
    <row r="189" spans="2:4" s="7" customFormat="1" ht="18.75" customHeight="1">
      <c r="B189" s="40"/>
      <c r="C189" s="7" t="s">
        <v>219</v>
      </c>
      <c r="D189" s="40">
        <v>10</v>
      </c>
    </row>
    <row r="190" spans="2:4" s="7" customFormat="1" ht="18.75" customHeight="1">
      <c r="B190" s="40"/>
      <c r="C190" s="7" t="s">
        <v>220</v>
      </c>
      <c r="D190" s="40">
        <f>SUM(D191:D192)</f>
        <v>2739</v>
      </c>
    </row>
    <row r="191" spans="2:4" s="7" customFormat="1" ht="18.75" customHeight="1">
      <c r="B191" s="40"/>
      <c r="C191" s="7" t="s">
        <v>545</v>
      </c>
      <c r="D191" s="40">
        <v>1</v>
      </c>
    </row>
    <row r="192" spans="2:4" s="7" customFormat="1" ht="18.75" customHeight="1">
      <c r="B192" s="40"/>
      <c r="C192" s="7" t="s">
        <v>221</v>
      </c>
      <c r="D192" s="40">
        <v>2738</v>
      </c>
    </row>
    <row r="193" spans="2:4" s="7" customFormat="1" ht="18.75" customHeight="1">
      <c r="B193" s="40"/>
      <c r="C193" s="7" t="s">
        <v>222</v>
      </c>
      <c r="D193" s="40">
        <f>D194</f>
        <v>198</v>
      </c>
    </row>
    <row r="194" spans="1:5" s="7" customFormat="1" ht="18.75" customHeight="1">
      <c r="A194" s="44"/>
      <c r="B194" s="45"/>
      <c r="C194" s="44" t="s">
        <v>97</v>
      </c>
      <c r="D194" s="45">
        <v>198</v>
      </c>
      <c r="E194" s="44"/>
    </row>
    <row r="195" spans="2:6" s="7" customFormat="1" ht="18.75" customHeight="1">
      <c r="B195" s="40"/>
      <c r="C195" s="38" t="s">
        <v>380</v>
      </c>
      <c r="D195" s="39">
        <f>D196+D198+D201+D203+D205+D209+D211+D213</f>
        <v>6267</v>
      </c>
      <c r="E195" s="38"/>
      <c r="F195" s="38"/>
    </row>
    <row r="196" spans="2:4" s="7" customFormat="1" ht="18.75" customHeight="1">
      <c r="B196" s="40"/>
      <c r="C196" s="7" t="s">
        <v>223</v>
      </c>
      <c r="D196" s="40">
        <f>D197</f>
        <v>598</v>
      </c>
    </row>
    <row r="197" spans="2:4" s="7" customFormat="1" ht="18.75" customHeight="1">
      <c r="B197" s="40"/>
      <c r="C197" s="7" t="s">
        <v>97</v>
      </c>
      <c r="D197" s="40">
        <v>598</v>
      </c>
    </row>
    <row r="198" spans="2:4" s="7" customFormat="1" ht="18.75" customHeight="1">
      <c r="B198" s="40"/>
      <c r="C198" s="7" t="s">
        <v>224</v>
      </c>
      <c r="D198" s="40">
        <f>SUM(D199:D200)</f>
        <v>894</v>
      </c>
    </row>
    <row r="199" spans="2:4" s="7" customFormat="1" ht="18.75" customHeight="1">
      <c r="B199" s="40"/>
      <c r="C199" s="7" t="s">
        <v>225</v>
      </c>
      <c r="D199" s="40">
        <f>760+100</f>
        <v>860</v>
      </c>
    </row>
    <row r="200" spans="2:4" s="7" customFormat="1" ht="18.75" customHeight="1">
      <c r="B200" s="40"/>
      <c r="C200" s="7" t="s">
        <v>226</v>
      </c>
      <c r="D200" s="40">
        <v>34</v>
      </c>
    </row>
    <row r="201" spans="2:4" s="7" customFormat="1" ht="18.75" customHeight="1">
      <c r="B201" s="40"/>
      <c r="C201" s="7" t="s">
        <v>227</v>
      </c>
      <c r="D201" s="40">
        <f>D202</f>
        <v>613</v>
      </c>
    </row>
    <row r="202" spans="2:4" s="7" customFormat="1" ht="18.75" customHeight="1">
      <c r="B202" s="40"/>
      <c r="C202" s="7" t="s">
        <v>228</v>
      </c>
      <c r="D202" s="40">
        <f>513+100</f>
        <v>613</v>
      </c>
    </row>
    <row r="203" spans="2:4" s="7" customFormat="1" ht="18.75" customHeight="1">
      <c r="B203" s="40"/>
      <c r="C203" s="7" t="s">
        <v>546</v>
      </c>
      <c r="D203" s="40">
        <f>D204</f>
        <v>513</v>
      </c>
    </row>
    <row r="204" spans="2:4" s="7" customFormat="1" ht="18.75" customHeight="1">
      <c r="B204" s="40"/>
      <c r="C204" s="7" t="s">
        <v>547</v>
      </c>
      <c r="D204" s="40">
        <v>513</v>
      </c>
    </row>
    <row r="205" spans="2:4" s="7" customFormat="1" ht="18.75" customHeight="1">
      <c r="B205" s="40"/>
      <c r="C205" s="7" t="s">
        <v>229</v>
      </c>
      <c r="D205" s="40">
        <f>SUM(D206:D208)</f>
        <v>3060</v>
      </c>
    </row>
    <row r="206" spans="2:4" s="7" customFormat="1" ht="18.75" customHeight="1">
      <c r="B206" s="40"/>
      <c r="C206" s="7" t="s">
        <v>230</v>
      </c>
      <c r="D206" s="40">
        <v>396</v>
      </c>
    </row>
    <row r="207" spans="2:4" s="7" customFormat="1" ht="18.75" customHeight="1">
      <c r="B207" s="40"/>
      <c r="C207" s="7" t="s">
        <v>548</v>
      </c>
      <c r="D207" s="40">
        <f>1866+100</f>
        <v>1966</v>
      </c>
    </row>
    <row r="208" spans="2:4" s="7" customFormat="1" ht="18.75" customHeight="1">
      <c r="B208" s="40"/>
      <c r="C208" s="7" t="s">
        <v>231</v>
      </c>
      <c r="D208" s="40">
        <v>698</v>
      </c>
    </row>
    <row r="209" spans="2:4" s="7" customFormat="1" ht="18.75" customHeight="1">
      <c r="B209" s="40"/>
      <c r="C209" s="7" t="s">
        <v>232</v>
      </c>
      <c r="D209" s="40">
        <f>D210</f>
        <v>0</v>
      </c>
    </row>
    <row r="210" spans="2:4" s="7" customFormat="1" ht="18.75" customHeight="1">
      <c r="B210" s="40"/>
      <c r="C210" s="7" t="s">
        <v>233</v>
      </c>
      <c r="D210" s="40"/>
    </row>
    <row r="211" spans="2:4" s="7" customFormat="1" ht="18.75" customHeight="1">
      <c r="B211" s="40"/>
      <c r="C211" s="7" t="s">
        <v>234</v>
      </c>
      <c r="D211" s="40">
        <f>D212</f>
        <v>589</v>
      </c>
    </row>
    <row r="212" spans="2:4" s="7" customFormat="1" ht="18.75" customHeight="1">
      <c r="B212" s="40"/>
      <c r="C212" s="7" t="s">
        <v>235</v>
      </c>
      <c r="D212" s="40">
        <v>589</v>
      </c>
    </row>
    <row r="213" spans="2:4" s="7" customFormat="1" ht="18.75" customHeight="1">
      <c r="B213" s="40"/>
      <c r="C213" s="7" t="s">
        <v>236</v>
      </c>
      <c r="D213" s="40">
        <f>SUM(D214:D215)</f>
        <v>0</v>
      </c>
    </row>
    <row r="214" spans="2:4" s="7" customFormat="1" ht="18.75" customHeight="1">
      <c r="B214" s="40"/>
      <c r="C214" s="7" t="s">
        <v>237</v>
      </c>
      <c r="D214" s="40"/>
    </row>
    <row r="215" spans="2:4" s="7" customFormat="1" ht="18.75" customHeight="1">
      <c r="B215" s="40"/>
      <c r="C215" s="7" t="s">
        <v>238</v>
      </c>
      <c r="D215" s="40"/>
    </row>
    <row r="216" spans="2:6" s="7" customFormat="1" ht="18.75" customHeight="1">
      <c r="B216" s="40"/>
      <c r="C216" s="38" t="s">
        <v>381</v>
      </c>
      <c r="D216" s="39">
        <f>D217+D223+D225+D227</f>
        <v>6065</v>
      </c>
      <c r="E216" s="38"/>
      <c r="F216" s="38"/>
    </row>
    <row r="217" spans="2:4" s="7" customFormat="1" ht="18.75" customHeight="1">
      <c r="B217" s="40"/>
      <c r="C217" s="7" t="s">
        <v>239</v>
      </c>
      <c r="D217" s="40">
        <f>SUM(D218:D222)</f>
        <v>3764</v>
      </c>
    </row>
    <row r="218" spans="2:4" s="7" customFormat="1" ht="18.75" customHeight="1">
      <c r="B218" s="40"/>
      <c r="C218" s="7" t="s">
        <v>97</v>
      </c>
      <c r="D218" s="40">
        <v>1853</v>
      </c>
    </row>
    <row r="219" spans="2:4" s="7" customFormat="1" ht="18.75" customHeight="1">
      <c r="B219" s="40"/>
      <c r="C219" s="7" t="s">
        <v>98</v>
      </c>
      <c r="D219" s="40"/>
    </row>
    <row r="220" spans="2:4" s="7" customFormat="1" ht="18.75" customHeight="1">
      <c r="B220" s="40"/>
      <c r="C220" s="7" t="s">
        <v>240</v>
      </c>
      <c r="D220" s="40">
        <v>842</v>
      </c>
    </row>
    <row r="221" spans="2:4" s="7" customFormat="1" ht="18.75" customHeight="1">
      <c r="B221" s="40"/>
      <c r="C221" s="7" t="s">
        <v>241</v>
      </c>
      <c r="D221" s="40">
        <v>765</v>
      </c>
    </row>
    <row r="222" spans="2:4" s="7" customFormat="1" ht="18.75" customHeight="1">
      <c r="B222" s="40"/>
      <c r="C222" s="7" t="s">
        <v>242</v>
      </c>
      <c r="D222" s="40">
        <v>304</v>
      </c>
    </row>
    <row r="223" spans="2:4" s="7" customFormat="1" ht="18.75" customHeight="1">
      <c r="B223" s="40"/>
      <c r="C223" s="7" t="s">
        <v>243</v>
      </c>
      <c r="D223" s="40">
        <f>D224</f>
        <v>56</v>
      </c>
    </row>
    <row r="224" spans="2:4" s="7" customFormat="1" ht="18.75" customHeight="1">
      <c r="B224" s="40"/>
      <c r="C224" s="7" t="s">
        <v>244</v>
      </c>
      <c r="D224" s="40">
        <v>56</v>
      </c>
    </row>
    <row r="225" spans="2:4" s="7" customFormat="1" ht="18.75" customHeight="1">
      <c r="B225" s="40"/>
      <c r="C225" s="7" t="s">
        <v>245</v>
      </c>
      <c r="D225" s="40">
        <f>D226</f>
        <v>1832</v>
      </c>
    </row>
    <row r="226" spans="2:4" s="7" customFormat="1" ht="18.75" customHeight="1">
      <c r="B226" s="40"/>
      <c r="C226" s="7" t="s">
        <v>246</v>
      </c>
      <c r="D226" s="40">
        <v>1832</v>
      </c>
    </row>
    <row r="227" spans="2:4" s="7" customFormat="1" ht="18.75" customHeight="1">
      <c r="B227" s="40"/>
      <c r="C227" s="7" t="s">
        <v>247</v>
      </c>
      <c r="D227" s="40">
        <f>D228</f>
        <v>413</v>
      </c>
    </row>
    <row r="228" spans="2:4" s="7" customFormat="1" ht="18.75" customHeight="1">
      <c r="B228" s="40"/>
      <c r="C228" s="7" t="s">
        <v>248</v>
      </c>
      <c r="D228" s="40">
        <v>413</v>
      </c>
    </row>
    <row r="229" spans="2:6" s="7" customFormat="1" ht="18.75" customHeight="1">
      <c r="B229" s="40"/>
      <c r="C229" s="38" t="s">
        <v>382</v>
      </c>
      <c r="D229" s="39">
        <f>D230+D246+D255+D265+D272+D277+D282+D287</f>
        <v>55683</v>
      </c>
      <c r="E229" s="38"/>
      <c r="F229" s="38"/>
    </row>
    <row r="230" spans="2:4" s="7" customFormat="1" ht="18.75" customHeight="1">
      <c r="B230" s="40"/>
      <c r="C230" s="7" t="s">
        <v>249</v>
      </c>
      <c r="D230" s="40">
        <f>SUM(D231:D245)</f>
        <v>19577</v>
      </c>
    </row>
    <row r="231" spans="2:4" s="7" customFormat="1" ht="18.75" customHeight="1">
      <c r="B231" s="40"/>
      <c r="C231" s="7" t="s">
        <v>97</v>
      </c>
      <c r="D231" s="40">
        <v>2826</v>
      </c>
    </row>
    <row r="232" spans="2:4" s="7" customFormat="1" ht="18.75" customHeight="1">
      <c r="B232" s="40"/>
      <c r="C232" s="7" t="s">
        <v>99</v>
      </c>
      <c r="D232" s="40">
        <f>8693+500</f>
        <v>9193</v>
      </c>
    </row>
    <row r="233" spans="1:5" s="7" customFormat="1" ht="18.75" customHeight="1">
      <c r="A233" s="46"/>
      <c r="B233" s="40"/>
      <c r="C233" s="46" t="s">
        <v>549</v>
      </c>
      <c r="D233" s="40">
        <v>1475</v>
      </c>
      <c r="E233" s="46"/>
    </row>
    <row r="234" spans="2:4" s="7" customFormat="1" ht="18.75" customHeight="1">
      <c r="B234" s="40"/>
      <c r="C234" s="7" t="s">
        <v>250</v>
      </c>
      <c r="D234" s="40">
        <v>163</v>
      </c>
    </row>
    <row r="235" spans="2:4" s="7" customFormat="1" ht="18.75" customHeight="1">
      <c r="B235" s="40"/>
      <c r="C235" s="62" t="s">
        <v>473</v>
      </c>
      <c r="D235" s="40"/>
    </row>
    <row r="236" spans="2:4" s="7" customFormat="1" ht="18.75" customHeight="1">
      <c r="B236" s="40"/>
      <c r="C236" s="7" t="s">
        <v>251</v>
      </c>
      <c r="D236" s="40">
        <v>1</v>
      </c>
    </row>
    <row r="237" spans="2:4" s="7" customFormat="1" ht="18.75" customHeight="1">
      <c r="B237" s="40"/>
      <c r="C237" s="7" t="s">
        <v>550</v>
      </c>
      <c r="D237" s="40">
        <v>308</v>
      </c>
    </row>
    <row r="238" spans="2:4" s="7" customFormat="1" ht="18.75" customHeight="1">
      <c r="B238" s="40"/>
      <c r="C238" s="7" t="s">
        <v>252</v>
      </c>
      <c r="D238" s="40"/>
    </row>
    <row r="239" spans="2:4" s="7" customFormat="1" ht="18.75" customHeight="1">
      <c r="B239" s="40"/>
      <c r="C239" s="7" t="s">
        <v>253</v>
      </c>
      <c r="D239" s="40">
        <v>975</v>
      </c>
    </row>
    <row r="240" spans="2:4" s="7" customFormat="1" ht="18.75" customHeight="1">
      <c r="B240" s="40"/>
      <c r="C240" s="7" t="s">
        <v>254</v>
      </c>
      <c r="D240" s="40"/>
    </row>
    <row r="241" spans="2:4" s="7" customFormat="1" ht="18.75" customHeight="1">
      <c r="B241" s="40"/>
      <c r="C241" s="7" t="s">
        <v>255</v>
      </c>
      <c r="D241" s="40">
        <v>188</v>
      </c>
    </row>
    <row r="242" spans="2:4" s="7" customFormat="1" ht="18.75" customHeight="1">
      <c r="B242" s="40"/>
      <c r="C242" s="7" t="s">
        <v>256</v>
      </c>
      <c r="D242" s="40"/>
    </row>
    <row r="243" spans="2:4" s="7" customFormat="1" ht="18.75" customHeight="1">
      <c r="B243" s="40"/>
      <c r="C243" s="7" t="s">
        <v>257</v>
      </c>
      <c r="D243" s="40">
        <v>2553</v>
      </c>
    </row>
    <row r="244" spans="2:4" s="7" customFormat="1" ht="18.75" customHeight="1">
      <c r="B244" s="40"/>
      <c r="C244" s="7" t="s">
        <v>258</v>
      </c>
      <c r="D244" s="40">
        <v>382</v>
      </c>
    </row>
    <row r="245" spans="2:4" s="7" customFormat="1" ht="18.75" customHeight="1">
      <c r="B245" s="40"/>
      <c r="C245" s="7" t="s">
        <v>259</v>
      </c>
      <c r="D245" s="40">
        <v>1513</v>
      </c>
    </row>
    <row r="246" spans="2:4" s="7" customFormat="1" ht="18.75" customHeight="1">
      <c r="B246" s="40"/>
      <c r="C246" s="7" t="s">
        <v>260</v>
      </c>
      <c r="D246" s="40">
        <f>SUM(D247:D254)</f>
        <v>3120</v>
      </c>
    </row>
    <row r="247" spans="2:4" s="7" customFormat="1" ht="18.75" customHeight="1">
      <c r="B247" s="40"/>
      <c r="C247" s="7" t="s">
        <v>97</v>
      </c>
      <c r="D247" s="40">
        <v>182</v>
      </c>
    </row>
    <row r="248" spans="2:4" s="7" customFormat="1" ht="18.75" customHeight="1">
      <c r="B248" s="40"/>
      <c r="C248" s="7" t="s">
        <v>261</v>
      </c>
      <c r="D248" s="40">
        <v>1050</v>
      </c>
    </row>
    <row r="249" spans="2:4" s="7" customFormat="1" ht="18.75" customHeight="1">
      <c r="B249" s="40"/>
      <c r="C249" s="7" t="s">
        <v>262</v>
      </c>
      <c r="D249" s="40">
        <v>1050</v>
      </c>
    </row>
    <row r="250" spans="2:4" s="7" customFormat="1" ht="18.75" customHeight="1">
      <c r="B250" s="40"/>
      <c r="C250" s="7" t="s">
        <v>263</v>
      </c>
      <c r="D250" s="40"/>
    </row>
    <row r="251" spans="2:4" s="7" customFormat="1" ht="18.75" customHeight="1">
      <c r="B251" s="40"/>
      <c r="C251" s="7" t="s">
        <v>264</v>
      </c>
      <c r="D251" s="40">
        <v>304</v>
      </c>
    </row>
    <row r="252" spans="2:4" s="7" customFormat="1" ht="18.75" customHeight="1">
      <c r="B252" s="40"/>
      <c r="C252" s="7" t="s">
        <v>265</v>
      </c>
      <c r="D252" s="40">
        <v>183</v>
      </c>
    </row>
    <row r="253" spans="2:4" s="7" customFormat="1" ht="18.75" customHeight="1">
      <c r="B253" s="40"/>
      <c r="C253" s="7" t="s">
        <v>266</v>
      </c>
      <c r="D253" s="40"/>
    </row>
    <row r="254" spans="2:4" s="7" customFormat="1" ht="18.75" customHeight="1">
      <c r="B254" s="40"/>
      <c r="C254" s="7" t="s">
        <v>267</v>
      </c>
      <c r="D254" s="40">
        <v>351</v>
      </c>
    </row>
    <row r="255" spans="2:4" s="7" customFormat="1" ht="18.75" customHeight="1">
      <c r="B255" s="40"/>
      <c r="C255" s="7" t="s">
        <v>268</v>
      </c>
      <c r="D255" s="40">
        <f>SUM(D256:D264)</f>
        <v>12824</v>
      </c>
    </row>
    <row r="256" spans="2:4" s="7" customFormat="1" ht="18.75" customHeight="1">
      <c r="B256" s="40"/>
      <c r="C256" s="7" t="s">
        <v>97</v>
      </c>
      <c r="D256" s="40">
        <v>2551</v>
      </c>
    </row>
    <row r="257" spans="2:4" s="7" customFormat="1" ht="18.75" customHeight="1">
      <c r="B257" s="40"/>
      <c r="C257" s="7" t="s">
        <v>269</v>
      </c>
      <c r="D257" s="40">
        <f>4878+500</f>
        <v>5378</v>
      </c>
    </row>
    <row r="258" spans="2:4" s="7" customFormat="1" ht="18.75" customHeight="1">
      <c r="B258" s="40"/>
      <c r="C258" s="7" t="s">
        <v>270</v>
      </c>
      <c r="D258" s="40">
        <v>431</v>
      </c>
    </row>
    <row r="259" spans="2:4" s="7" customFormat="1" ht="18.75" customHeight="1">
      <c r="B259" s="40"/>
      <c r="C259" s="7" t="s">
        <v>271</v>
      </c>
      <c r="D259" s="40">
        <v>161</v>
      </c>
    </row>
    <row r="260" spans="2:4" s="7" customFormat="1" ht="18.75" customHeight="1">
      <c r="B260" s="40"/>
      <c r="C260" s="7" t="s">
        <v>272</v>
      </c>
      <c r="D260" s="40">
        <v>89</v>
      </c>
    </row>
    <row r="261" spans="2:4" s="7" customFormat="1" ht="18.75" customHeight="1">
      <c r="B261" s="40"/>
      <c r="C261" s="7" t="s">
        <v>551</v>
      </c>
      <c r="D261" s="40">
        <v>2584</v>
      </c>
    </row>
    <row r="262" spans="2:4" s="7" customFormat="1" ht="18.75" customHeight="1">
      <c r="B262" s="40"/>
      <c r="C262" s="7" t="s">
        <v>273</v>
      </c>
      <c r="D262" s="40">
        <v>230</v>
      </c>
    </row>
    <row r="263" spans="2:4" s="7" customFormat="1" ht="18.75" customHeight="1">
      <c r="B263" s="40"/>
      <c r="C263" s="7" t="s">
        <v>552</v>
      </c>
      <c r="D263" s="40">
        <v>827</v>
      </c>
    </row>
    <row r="264" spans="2:4" s="7" customFormat="1" ht="18.75" customHeight="1">
      <c r="B264" s="40"/>
      <c r="C264" s="7" t="s">
        <v>274</v>
      </c>
      <c r="D264" s="40">
        <v>573</v>
      </c>
    </row>
    <row r="265" spans="2:4" s="7" customFormat="1" ht="18.75" customHeight="1">
      <c r="B265" s="40"/>
      <c r="C265" s="7" t="s">
        <v>275</v>
      </c>
      <c r="D265" s="40">
        <f>SUM(D266:D271)</f>
        <v>16119</v>
      </c>
    </row>
    <row r="266" spans="2:4" s="7" customFormat="1" ht="18.75" customHeight="1">
      <c r="B266" s="40"/>
      <c r="C266" s="7" t="s">
        <v>97</v>
      </c>
      <c r="D266" s="40">
        <v>225</v>
      </c>
    </row>
    <row r="267" spans="2:4" s="7" customFormat="1" ht="18.75" customHeight="1">
      <c r="B267" s="40"/>
      <c r="C267" s="7" t="s">
        <v>98</v>
      </c>
      <c r="D267" s="40">
        <v>20</v>
      </c>
    </row>
    <row r="268" spans="2:4" s="7" customFormat="1" ht="18.75" customHeight="1">
      <c r="B268" s="40"/>
      <c r="C268" s="7" t="s">
        <v>276</v>
      </c>
      <c r="D268" s="40">
        <f>3088+1000</f>
        <v>4088</v>
      </c>
    </row>
    <row r="269" spans="2:4" s="7" customFormat="1" ht="18.75" customHeight="1">
      <c r="B269" s="40"/>
      <c r="C269" s="7" t="s">
        <v>277</v>
      </c>
      <c r="D269" s="40">
        <v>4261</v>
      </c>
    </row>
    <row r="270" spans="1:5" s="7" customFormat="1" ht="18.75" customHeight="1">
      <c r="A270" s="44"/>
      <c r="B270" s="45"/>
      <c r="C270" s="44" t="s">
        <v>278</v>
      </c>
      <c r="D270" s="45"/>
      <c r="E270" s="44"/>
    </row>
    <row r="271" spans="2:4" s="7" customFormat="1" ht="18.75" customHeight="1">
      <c r="B271" s="40"/>
      <c r="C271" s="7" t="s">
        <v>279</v>
      </c>
      <c r="D271" s="40">
        <v>7525</v>
      </c>
    </row>
    <row r="272" spans="2:4" s="7" customFormat="1" ht="18.75" customHeight="1">
      <c r="B272" s="40"/>
      <c r="C272" s="7" t="s">
        <v>280</v>
      </c>
      <c r="D272" s="40">
        <f>SUM(D273:D276)</f>
        <v>2082</v>
      </c>
    </row>
    <row r="273" spans="2:4" s="7" customFormat="1" ht="18.75" customHeight="1">
      <c r="B273" s="40"/>
      <c r="C273" s="7" t="s">
        <v>161</v>
      </c>
      <c r="D273" s="40">
        <v>208</v>
      </c>
    </row>
    <row r="274" spans="2:4" s="7" customFormat="1" ht="18.75" customHeight="1">
      <c r="B274" s="40"/>
      <c r="C274" s="7" t="s">
        <v>553</v>
      </c>
      <c r="D274" s="40">
        <v>930</v>
      </c>
    </row>
    <row r="275" spans="2:4" s="7" customFormat="1" ht="18.75" customHeight="1">
      <c r="B275" s="40"/>
      <c r="C275" s="7" t="s">
        <v>554</v>
      </c>
      <c r="D275" s="40">
        <v>475</v>
      </c>
    </row>
    <row r="276" spans="2:4" s="7" customFormat="1" ht="18.75" customHeight="1">
      <c r="B276" s="40"/>
      <c r="C276" s="7" t="s">
        <v>555</v>
      </c>
      <c r="D276" s="40">
        <v>469</v>
      </c>
    </row>
    <row r="277" spans="2:4" s="7" customFormat="1" ht="18.75" customHeight="1">
      <c r="B277" s="40"/>
      <c r="C277" s="7" t="s">
        <v>281</v>
      </c>
      <c r="D277" s="40">
        <f>SUM(D278:D281)</f>
        <v>1498</v>
      </c>
    </row>
    <row r="278" spans="2:4" s="7" customFormat="1" ht="18.75" customHeight="1">
      <c r="B278" s="40"/>
      <c r="C278" s="7" t="s">
        <v>282</v>
      </c>
      <c r="D278" s="40">
        <v>1155</v>
      </c>
    </row>
    <row r="279" spans="2:4" s="7" customFormat="1" ht="18.75" customHeight="1">
      <c r="B279" s="40"/>
      <c r="C279" s="7" t="s">
        <v>283</v>
      </c>
      <c r="D279" s="40">
        <v>155</v>
      </c>
    </row>
    <row r="280" spans="2:4" s="7" customFormat="1" ht="18.75" customHeight="1">
      <c r="B280" s="40"/>
      <c r="C280" s="7" t="s">
        <v>556</v>
      </c>
      <c r="D280" s="40">
        <v>184</v>
      </c>
    </row>
    <row r="281" spans="2:4" s="7" customFormat="1" ht="18.75" customHeight="1">
      <c r="B281" s="40"/>
      <c r="C281" s="7" t="s">
        <v>284</v>
      </c>
      <c r="D281" s="40">
        <v>4</v>
      </c>
    </row>
    <row r="282" spans="2:4" s="7" customFormat="1" ht="18.75" customHeight="1">
      <c r="B282" s="40"/>
      <c r="C282" s="7" t="s">
        <v>557</v>
      </c>
      <c r="D282" s="40">
        <f>SUM(D283:D286)</f>
        <v>463</v>
      </c>
    </row>
    <row r="283" spans="2:4" s="7" customFormat="1" ht="18.75" customHeight="1">
      <c r="B283" s="40"/>
      <c r="C283" s="7" t="s">
        <v>558</v>
      </c>
      <c r="D283" s="40">
        <v>275</v>
      </c>
    </row>
    <row r="284" spans="2:4" s="7" customFormat="1" ht="18.75" customHeight="1">
      <c r="B284" s="40"/>
      <c r="C284" s="7" t="s">
        <v>559</v>
      </c>
      <c r="D284" s="40">
        <v>84</v>
      </c>
    </row>
    <row r="285" spans="2:4" s="7" customFormat="1" ht="18.75" customHeight="1">
      <c r="B285" s="40"/>
      <c r="C285" s="7" t="s">
        <v>560</v>
      </c>
      <c r="D285" s="40">
        <v>103</v>
      </c>
    </row>
    <row r="286" spans="2:4" s="7" customFormat="1" ht="18.75" customHeight="1">
      <c r="B286" s="40"/>
      <c r="C286" s="7" t="s">
        <v>561</v>
      </c>
      <c r="D286" s="40">
        <v>1</v>
      </c>
    </row>
    <row r="287" spans="2:4" s="7" customFormat="1" ht="18.75" customHeight="1">
      <c r="B287" s="40"/>
      <c r="C287" s="7" t="s">
        <v>285</v>
      </c>
      <c r="D287" s="40">
        <f>D288</f>
        <v>0</v>
      </c>
    </row>
    <row r="288" spans="2:4" s="7" customFormat="1" ht="18.75" customHeight="1">
      <c r="B288" s="40"/>
      <c r="C288" s="7" t="s">
        <v>286</v>
      </c>
      <c r="D288" s="40"/>
    </row>
    <row r="289" spans="2:6" s="7" customFormat="1" ht="18.75" customHeight="1">
      <c r="B289" s="40"/>
      <c r="C289" s="38" t="s">
        <v>383</v>
      </c>
      <c r="D289" s="39">
        <f>D290+D293</f>
        <v>789</v>
      </c>
      <c r="E289" s="38"/>
      <c r="F289" s="38"/>
    </row>
    <row r="290" spans="2:4" s="7" customFormat="1" ht="18.75" customHeight="1">
      <c r="B290" s="40"/>
      <c r="C290" s="7" t="s">
        <v>287</v>
      </c>
      <c r="D290" s="40">
        <f>SUM(D291:D292)</f>
        <v>592</v>
      </c>
    </row>
    <row r="291" spans="2:4" s="7" customFormat="1" ht="18.75" customHeight="1">
      <c r="B291" s="40"/>
      <c r="C291" s="7" t="s">
        <v>97</v>
      </c>
      <c r="D291" s="40">
        <f>532+30</f>
        <v>562</v>
      </c>
    </row>
    <row r="292" spans="2:4" s="7" customFormat="1" ht="18.75" customHeight="1">
      <c r="B292" s="40"/>
      <c r="C292" s="7" t="s">
        <v>562</v>
      </c>
      <c r="D292" s="40">
        <v>30</v>
      </c>
    </row>
    <row r="293" spans="2:4" s="7" customFormat="1" ht="18.75" customHeight="1">
      <c r="B293" s="40"/>
      <c r="C293" s="7" t="s">
        <v>563</v>
      </c>
      <c r="D293" s="40">
        <f>SUM(D294:D296)</f>
        <v>197</v>
      </c>
    </row>
    <row r="294" spans="2:4" s="7" customFormat="1" ht="18.75" customHeight="1">
      <c r="B294" s="40"/>
      <c r="C294" s="7" t="s">
        <v>564</v>
      </c>
      <c r="D294" s="40">
        <v>1</v>
      </c>
    </row>
    <row r="295" spans="2:4" s="7" customFormat="1" ht="18.75" customHeight="1">
      <c r="B295" s="40"/>
      <c r="C295" s="7" t="s">
        <v>565</v>
      </c>
      <c r="D295" s="40">
        <v>189</v>
      </c>
    </row>
    <row r="296" spans="2:4" s="7" customFormat="1" ht="18.75" customHeight="1">
      <c r="B296" s="40"/>
      <c r="C296" s="7" t="s">
        <v>566</v>
      </c>
      <c r="D296" s="40">
        <v>7</v>
      </c>
    </row>
    <row r="297" spans="2:4" s="7" customFormat="1" ht="18.75" customHeight="1">
      <c r="B297" s="40"/>
      <c r="C297" s="7" t="s">
        <v>567</v>
      </c>
      <c r="D297" s="40">
        <v>2</v>
      </c>
    </row>
    <row r="298" spans="2:6" s="7" customFormat="1" ht="18.75" customHeight="1">
      <c r="B298" s="40"/>
      <c r="C298" s="38" t="s">
        <v>384</v>
      </c>
      <c r="D298" s="39">
        <f>D299+D301+D303</f>
        <v>6061</v>
      </c>
      <c r="E298" s="38"/>
      <c r="F298" s="38"/>
    </row>
    <row r="299" spans="2:6" s="7" customFormat="1" ht="18.75" customHeight="1">
      <c r="B299" s="40"/>
      <c r="C299" s="7" t="s">
        <v>474</v>
      </c>
      <c r="D299" s="40">
        <f>D300</f>
        <v>4931</v>
      </c>
      <c r="E299" s="38"/>
      <c r="F299" s="38"/>
    </row>
    <row r="300" spans="2:6" s="7" customFormat="1" ht="18.75" customHeight="1">
      <c r="B300" s="40"/>
      <c r="C300" s="7" t="s">
        <v>475</v>
      </c>
      <c r="D300" s="40">
        <f>4831+100</f>
        <v>4931</v>
      </c>
      <c r="E300" s="38"/>
      <c r="F300" s="38"/>
    </row>
    <row r="301" spans="2:4" s="7" customFormat="1" ht="18.75" customHeight="1">
      <c r="B301" s="40"/>
      <c r="C301" s="7" t="s">
        <v>288</v>
      </c>
      <c r="D301" s="40">
        <f>D302</f>
        <v>563</v>
      </c>
    </row>
    <row r="302" spans="2:4" s="7" customFormat="1" ht="18.75" customHeight="1">
      <c r="B302" s="40"/>
      <c r="C302" s="7" t="s">
        <v>97</v>
      </c>
      <c r="D302" s="40">
        <v>563</v>
      </c>
    </row>
    <row r="303" spans="2:4" s="7" customFormat="1" ht="18.75" customHeight="1">
      <c r="B303" s="40"/>
      <c r="C303" s="7" t="s">
        <v>289</v>
      </c>
      <c r="D303" s="40">
        <f>SUM(D304:D305)</f>
        <v>567</v>
      </c>
    </row>
    <row r="304" spans="2:4" s="7" customFormat="1" ht="18.75" customHeight="1">
      <c r="B304" s="40"/>
      <c r="C304" s="7" t="s">
        <v>290</v>
      </c>
      <c r="D304" s="40">
        <v>453</v>
      </c>
    </row>
    <row r="305" spans="2:4" s="7" customFormat="1" ht="18.75" customHeight="1">
      <c r="B305" s="40"/>
      <c r="C305" s="7" t="s">
        <v>291</v>
      </c>
      <c r="D305" s="40">
        <v>114</v>
      </c>
    </row>
    <row r="306" spans="2:6" s="7" customFormat="1" ht="18.75" customHeight="1">
      <c r="B306" s="40"/>
      <c r="C306" s="38" t="s">
        <v>385</v>
      </c>
      <c r="D306" s="39">
        <f>D307+D311</f>
        <v>3516</v>
      </c>
      <c r="E306" s="38"/>
      <c r="F306" s="38"/>
    </row>
    <row r="307" spans="2:4" s="7" customFormat="1" ht="18.75" customHeight="1">
      <c r="B307" s="40"/>
      <c r="C307" s="7" t="s">
        <v>292</v>
      </c>
      <c r="D307" s="40">
        <f>SUM(D308:D310)</f>
        <v>1850</v>
      </c>
    </row>
    <row r="308" spans="2:4" s="7" customFormat="1" ht="18.75" customHeight="1">
      <c r="B308" s="40"/>
      <c r="C308" s="7" t="s">
        <v>293</v>
      </c>
      <c r="D308" s="40"/>
    </row>
    <row r="309" spans="2:4" s="7" customFormat="1" ht="18.75" customHeight="1">
      <c r="B309" s="40"/>
      <c r="C309" s="7" t="s">
        <v>99</v>
      </c>
      <c r="D309" s="40">
        <v>934</v>
      </c>
    </row>
    <row r="310" spans="2:4" s="7" customFormat="1" ht="18.75" customHeight="1">
      <c r="B310" s="40"/>
      <c r="C310" s="7" t="s">
        <v>294</v>
      </c>
      <c r="D310" s="40">
        <v>916</v>
      </c>
    </row>
    <row r="311" spans="2:4" s="7" customFormat="1" ht="18.75" customHeight="1">
      <c r="B311" s="40"/>
      <c r="C311" s="7" t="s">
        <v>295</v>
      </c>
      <c r="D311" s="40">
        <f>SUM(D312:D313)</f>
        <v>1666</v>
      </c>
    </row>
    <row r="312" spans="2:4" s="7" customFormat="1" ht="18.75" customHeight="1">
      <c r="B312" s="40"/>
      <c r="C312" s="7" t="s">
        <v>97</v>
      </c>
      <c r="D312" s="40">
        <f>770+100</f>
        <v>870</v>
      </c>
    </row>
    <row r="313" spans="2:4" s="7" customFormat="1" ht="18.75" customHeight="1">
      <c r="B313" s="40"/>
      <c r="C313" s="7" t="s">
        <v>568</v>
      </c>
      <c r="D313" s="40">
        <v>796</v>
      </c>
    </row>
    <row r="314" spans="2:6" s="7" customFormat="1" ht="18.75" customHeight="1">
      <c r="B314" s="40"/>
      <c r="C314" s="38" t="s">
        <v>386</v>
      </c>
      <c r="D314" s="39">
        <f>D315+D318+D320</f>
        <v>1167</v>
      </c>
      <c r="E314" s="38"/>
      <c r="F314" s="38"/>
    </row>
    <row r="315" spans="1:5" s="7" customFormat="1" ht="18.75" customHeight="1">
      <c r="A315" s="44"/>
      <c r="B315" s="45"/>
      <c r="C315" s="44" t="s">
        <v>296</v>
      </c>
      <c r="D315" s="45">
        <f>SUM(D316:D317)</f>
        <v>1009</v>
      </c>
      <c r="E315" s="44"/>
    </row>
    <row r="316" spans="2:4" s="7" customFormat="1" ht="18.75" customHeight="1">
      <c r="B316" s="40"/>
      <c r="C316" s="7" t="s">
        <v>97</v>
      </c>
      <c r="D316" s="40">
        <v>937</v>
      </c>
    </row>
    <row r="317" spans="2:4" s="7" customFormat="1" ht="18.75" customHeight="1">
      <c r="B317" s="40"/>
      <c r="C317" s="7" t="s">
        <v>569</v>
      </c>
      <c r="D317" s="40">
        <v>72</v>
      </c>
    </row>
    <row r="318" spans="2:4" s="7" customFormat="1" ht="18.75" customHeight="1">
      <c r="B318" s="40"/>
      <c r="C318" s="7" t="s">
        <v>297</v>
      </c>
      <c r="D318" s="40">
        <f>D319</f>
        <v>18</v>
      </c>
    </row>
    <row r="319" spans="1:4" s="7" customFormat="1" ht="18.75" customHeight="1">
      <c r="A319" s="8" t="s">
        <v>392</v>
      </c>
      <c r="B319" s="40">
        <f>B5+B23</f>
        <v>33140</v>
      </c>
      <c r="C319" s="7" t="s">
        <v>97</v>
      </c>
      <c r="D319" s="40">
        <v>18</v>
      </c>
    </row>
    <row r="320" spans="2:4" s="7" customFormat="1" ht="18.75" customHeight="1">
      <c r="B320" s="40"/>
      <c r="C320" s="7" t="s">
        <v>298</v>
      </c>
      <c r="D320" s="40">
        <f>SUM(D321:D322)</f>
        <v>140</v>
      </c>
    </row>
    <row r="321" spans="2:4" s="7" customFormat="1" ht="18.75" customHeight="1">
      <c r="B321" s="40"/>
      <c r="C321" s="7" t="s">
        <v>97</v>
      </c>
      <c r="D321" s="40">
        <v>140</v>
      </c>
    </row>
    <row r="322" spans="1:4" s="7" customFormat="1" ht="18.75" customHeight="1">
      <c r="A322" s="7" t="s">
        <v>389</v>
      </c>
      <c r="B322" s="40">
        <f>B323+B326+B338</f>
        <v>358982</v>
      </c>
      <c r="C322" s="7" t="s">
        <v>299</v>
      </c>
      <c r="D322" s="40"/>
    </row>
    <row r="323" spans="1:6" s="7" customFormat="1" ht="18.75" customHeight="1">
      <c r="A323" s="7" t="s">
        <v>390</v>
      </c>
      <c r="B323" s="40">
        <f>SUM(B324:B325)</f>
        <v>1180</v>
      </c>
      <c r="C323" s="38" t="s">
        <v>387</v>
      </c>
      <c r="D323" s="39">
        <f>D324</f>
        <v>37578</v>
      </c>
      <c r="E323" s="38"/>
      <c r="F323" s="38"/>
    </row>
    <row r="324" spans="1:4" s="7" customFormat="1" ht="27">
      <c r="A324" s="7" t="s">
        <v>422</v>
      </c>
      <c r="B324" s="40">
        <v>1061</v>
      </c>
      <c r="C324" s="7" t="s">
        <v>300</v>
      </c>
      <c r="D324" s="40">
        <f>SUM(D325:D327)</f>
        <v>37578</v>
      </c>
    </row>
    <row r="325" spans="1:4" s="7" customFormat="1" ht="18.75" customHeight="1">
      <c r="A325" s="7" t="s">
        <v>421</v>
      </c>
      <c r="B325" s="40">
        <v>119</v>
      </c>
      <c r="C325" s="7" t="s">
        <v>570</v>
      </c>
      <c r="D325" s="40">
        <v>4820</v>
      </c>
    </row>
    <row r="326" spans="1:4" s="7" customFormat="1" ht="18.75" customHeight="1">
      <c r="A326" s="7" t="s">
        <v>391</v>
      </c>
      <c r="B326" s="40">
        <f>SUM(B327:B337)</f>
        <v>238778</v>
      </c>
      <c r="C326" s="7" t="s">
        <v>301</v>
      </c>
      <c r="D326" s="40">
        <f>6374+162+2578</f>
        <v>9114</v>
      </c>
    </row>
    <row r="327" spans="1:4" s="7" customFormat="1" ht="18.75" customHeight="1">
      <c r="A327" s="7" t="s">
        <v>420</v>
      </c>
      <c r="B327" s="40">
        <v>3109</v>
      </c>
      <c r="C327" s="7" t="s">
        <v>302</v>
      </c>
      <c r="D327" s="40">
        <v>23644</v>
      </c>
    </row>
    <row r="328" spans="1:5" s="7" customFormat="1" ht="18.75" customHeight="1">
      <c r="A328" s="7" t="s">
        <v>419</v>
      </c>
      <c r="B328" s="40">
        <f>38129+6801+2000</f>
        <v>46930</v>
      </c>
      <c r="C328" s="38" t="s">
        <v>393</v>
      </c>
      <c r="D328" s="39">
        <f>D329+D331+D333</f>
        <v>943</v>
      </c>
      <c r="E328" s="38"/>
    </row>
    <row r="329" spans="1:6" s="7" customFormat="1" ht="27">
      <c r="A329" s="7" t="s">
        <v>411</v>
      </c>
      <c r="B329" s="40">
        <f>8176+2000</f>
        <v>10176</v>
      </c>
      <c r="C329" s="7" t="s">
        <v>303</v>
      </c>
      <c r="D329" s="40">
        <f>D330</f>
        <v>943</v>
      </c>
      <c r="F329" s="38"/>
    </row>
    <row r="330" spans="1:4" s="7" customFormat="1" ht="27">
      <c r="A330" s="7" t="s">
        <v>412</v>
      </c>
      <c r="B330" s="40">
        <f>19031+2026+2000</f>
        <v>23057</v>
      </c>
      <c r="C330" s="7" t="s">
        <v>97</v>
      </c>
      <c r="D330" s="40">
        <v>943</v>
      </c>
    </row>
    <row r="331" spans="1:4" s="7" customFormat="1" ht="18.75" customHeight="1">
      <c r="A331" s="7" t="s">
        <v>413</v>
      </c>
      <c r="B331" s="40">
        <v>530</v>
      </c>
      <c r="C331" s="7" t="s">
        <v>304</v>
      </c>
      <c r="D331" s="40">
        <f>D332</f>
        <v>0</v>
      </c>
    </row>
    <row r="332" spans="1:4" s="7" customFormat="1" ht="18.75" customHeight="1">
      <c r="A332" s="7" t="s">
        <v>414</v>
      </c>
      <c r="B332" s="40">
        <f>7446+6000+2000</f>
        <v>15446</v>
      </c>
      <c r="C332" s="7" t="s">
        <v>305</v>
      </c>
      <c r="D332" s="40"/>
    </row>
    <row r="333" spans="1:4" s="7" customFormat="1" ht="27">
      <c r="A333" s="7" t="s">
        <v>415</v>
      </c>
      <c r="B333" s="40">
        <f>7833+6000</f>
        <v>13833</v>
      </c>
      <c r="C333" s="7" t="s">
        <v>306</v>
      </c>
      <c r="D333" s="40">
        <f>D334</f>
        <v>0</v>
      </c>
    </row>
    <row r="334" spans="1:4" s="7" customFormat="1" ht="27">
      <c r="A334" s="70" t="s">
        <v>510</v>
      </c>
      <c r="B334" s="40">
        <f>1511+700</f>
        <v>2211</v>
      </c>
      <c r="C334" s="7" t="s">
        <v>307</v>
      </c>
      <c r="D334" s="40"/>
    </row>
    <row r="335" spans="1:5" s="7" customFormat="1" ht="27">
      <c r="A335" s="7" t="s">
        <v>416</v>
      </c>
      <c r="B335" s="40">
        <v>7103</v>
      </c>
      <c r="C335" s="38" t="s">
        <v>394</v>
      </c>
      <c r="D335" s="39">
        <f>D336</f>
        <v>1500</v>
      </c>
      <c r="E335" s="38"/>
    </row>
    <row r="336" spans="1:6" s="7" customFormat="1" ht="18.75" customHeight="1">
      <c r="A336" s="7" t="s">
        <v>417</v>
      </c>
      <c r="B336" s="40">
        <f>60376+47007+9000</f>
        <v>116383</v>
      </c>
      <c r="C336" s="7" t="s">
        <v>308</v>
      </c>
      <c r="D336" s="40">
        <f>D337</f>
        <v>1500</v>
      </c>
      <c r="F336" s="38"/>
    </row>
    <row r="337" spans="1:4" s="7" customFormat="1" ht="18.75" customHeight="1">
      <c r="A337" s="7" t="s">
        <v>418</v>
      </c>
      <c r="B337" s="40"/>
      <c r="C337" s="7" t="s">
        <v>309</v>
      </c>
      <c r="D337" s="40">
        <v>1500</v>
      </c>
    </row>
    <row r="338" spans="1:4" s="7" customFormat="1" ht="18.75" customHeight="1">
      <c r="A338" s="7" t="s">
        <v>423</v>
      </c>
      <c r="B338" s="40">
        <f>110982+9000-218-740</f>
        <v>119024</v>
      </c>
      <c r="C338" s="38" t="s">
        <v>571</v>
      </c>
      <c r="D338" s="72">
        <f>D339</f>
        <v>2089</v>
      </c>
    </row>
    <row r="339" spans="2:4" s="7" customFormat="1" ht="18.75" customHeight="1">
      <c r="B339" s="40"/>
      <c r="C339" s="7" t="s">
        <v>572</v>
      </c>
      <c r="D339" s="40">
        <f>D340</f>
        <v>2089</v>
      </c>
    </row>
    <row r="340" spans="2:4" s="7" customFormat="1" ht="18.75" customHeight="1">
      <c r="B340" s="40"/>
      <c r="C340" s="7" t="s">
        <v>573</v>
      </c>
      <c r="D340" s="40">
        <v>2089</v>
      </c>
    </row>
    <row r="341" spans="2:4" s="7" customFormat="1" ht="18.75" customHeight="1">
      <c r="B341" s="40"/>
      <c r="D341" s="40"/>
    </row>
    <row r="342" spans="2:4" s="7" customFormat="1" ht="18.75" customHeight="1">
      <c r="B342" s="40"/>
      <c r="D342" s="40"/>
    </row>
    <row r="343" spans="1:6" s="7" customFormat="1" ht="18.75" customHeight="1">
      <c r="A343" s="41" t="s">
        <v>388</v>
      </c>
      <c r="B343" s="42">
        <f>B319+B322</f>
        <v>392122</v>
      </c>
      <c r="C343" s="41" t="s">
        <v>405</v>
      </c>
      <c r="D343" s="42">
        <f>D5+D53+D78+D100+D106+D122+D166+D195+D216+D229+D289++D298+D306++D314+D323+D328+D335+D338</f>
        <v>392122</v>
      </c>
      <c r="E343" s="43"/>
      <c r="F343" s="38"/>
    </row>
  </sheetData>
  <sheetProtection/>
  <mergeCells count="4">
    <mergeCell ref="A1:E1"/>
    <mergeCell ref="A3:B3"/>
    <mergeCell ref="C3:D3"/>
    <mergeCell ref="E3:E4"/>
  </mergeCells>
  <printOptions/>
  <pageMargins left="0.7086614173228347" right="0.5511811023622047" top="0.7480314960629921" bottom="0.7480314960629921" header="0.31496062992125984" footer="0.31496062992125984"/>
  <pageSetup fitToHeight="9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2015-07-10T09:18:32Z</cp:lastPrinted>
  <dcterms:created xsi:type="dcterms:W3CDTF">2006-09-13T11:21:51Z</dcterms:created>
  <dcterms:modified xsi:type="dcterms:W3CDTF">2016-12-21T05:06:14Z</dcterms:modified>
  <cp:category/>
  <cp:version/>
  <cp:contentType/>
  <cp:contentStatus/>
</cp:coreProperties>
</file>